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8faf4dbb12ea716/PREFEITURAS e CÂMARA/JUCURUTU/2026/PE 2026/PE 024-2026 - PE - TRANSPORTE ESCOLAR/FASE DE SELEÇÃO/RETIFICAÇÃO DO EDITAL E ANEXOS/"/>
    </mc:Choice>
  </mc:AlternateContent>
  <xr:revisionPtr revIDLastSave="382" documentId="11_236A5EC6A0FD7F4C50925DD4F076E18B0BBEEF35" xr6:coauthVersionLast="47" xr6:coauthVersionMax="47" xr10:uidLastSave="{46B5CEDD-AD32-4D2F-BFD5-DCDBABEDB03B}"/>
  <bookViews>
    <workbookView xWindow="-120" yWindow="-120" windowWidth="38640" windowHeight="15720" tabRatio="500" activeTab="1" xr2:uid="{00000000-000D-0000-FFFF-FFFF00000000}"/>
  </bookViews>
  <sheets>
    <sheet name="PLAN_0FICIAL" sheetId="1" r:id="rId1"/>
    <sheet name="BANCO_DADOS" sheetId="2" r:id="rId2"/>
    <sheet name="ROTA 1" sheetId="3" r:id="rId3"/>
    <sheet name="ROTA 2" sheetId="4" r:id="rId4"/>
    <sheet name="ROTA 3" sheetId="5" r:id="rId5"/>
    <sheet name="ROTA 4" sheetId="6" r:id="rId6"/>
    <sheet name="ROTA 5" sheetId="7" r:id="rId7"/>
    <sheet name="ROTA 6" sheetId="8" r:id="rId8"/>
    <sheet name="ROTA 7" sheetId="9" r:id="rId9"/>
    <sheet name="ROTA 8" sheetId="10" r:id="rId10"/>
    <sheet name="ROTA 9" sheetId="11" r:id="rId11"/>
    <sheet name="ROTA 10" sheetId="12" r:id="rId12"/>
    <sheet name="ROTA 11" sheetId="13" r:id="rId13"/>
    <sheet name="ROTA 12" sheetId="14" r:id="rId14"/>
    <sheet name="ROTA 13" sheetId="15" r:id="rId15"/>
    <sheet name="ROTA 14" sheetId="16" r:id="rId16"/>
    <sheet name="ROTA 15" sheetId="17" r:id="rId17"/>
    <sheet name="ROTA 16" sheetId="18" r:id="rId18"/>
    <sheet name="ROTA 17" sheetId="19" r:id="rId19"/>
    <sheet name="ROTA 18" sheetId="20" r:id="rId20"/>
    <sheet name="ROTA 19" sheetId="21" r:id="rId21"/>
    <sheet name="ROTA 20" sheetId="22" r:id="rId22"/>
    <sheet name="ROTA 21" sheetId="23" r:id="rId23"/>
    <sheet name="ROTA 22" sheetId="24" r:id="rId24"/>
    <sheet name="ROTA 23" sheetId="25" r:id="rId25"/>
    <sheet name="ROTA 24" sheetId="26" r:id="rId26"/>
    <sheet name="ROTA 25" sheetId="27" r:id="rId27"/>
    <sheet name="ROTA 26" sheetId="28" r:id="rId28"/>
    <sheet name="ROTA 27" sheetId="29" r:id="rId29"/>
    <sheet name="ROTA 28" sheetId="30" r:id="rId30"/>
    <sheet name="ROTA 29" sheetId="31" r:id="rId31"/>
    <sheet name="ROTA 30" sheetId="32" r:id="rId32"/>
    <sheet name="ROTA 31" sheetId="33" r:id="rId33"/>
    <sheet name="ROTA 32" sheetId="34" r:id="rId34"/>
    <sheet name="ROTA 33" sheetId="35" r:id="rId35"/>
    <sheet name="ROTA 34" sheetId="36" r:id="rId36"/>
    <sheet name="ROTA 35" sheetId="37" r:id="rId37"/>
    <sheet name="ROTA 36" sheetId="38" r:id="rId3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8" i="38" l="1"/>
  <c r="C55" i="38"/>
  <c r="C54" i="38"/>
  <c r="C53" i="38"/>
  <c r="C45" i="38"/>
  <c r="C41" i="38"/>
  <c r="C37" i="38"/>
  <c r="C36" i="38"/>
  <c r="C29" i="38"/>
  <c r="C25" i="38"/>
  <c r="C23" i="38"/>
  <c r="C22" i="38"/>
  <c r="C15" i="38"/>
  <c r="C6" i="38"/>
  <c r="C5" i="38"/>
  <c r="C3" i="38"/>
  <c r="C68" i="37"/>
  <c r="C55" i="37"/>
  <c r="C54" i="37"/>
  <c r="C53" i="37"/>
  <c r="C45" i="37"/>
  <c r="C41" i="37"/>
  <c r="C37" i="37"/>
  <c r="C36" i="37"/>
  <c r="C29" i="37"/>
  <c r="C25" i="37"/>
  <c r="C23" i="37"/>
  <c r="C22" i="37"/>
  <c r="C15" i="37"/>
  <c r="C6" i="37"/>
  <c r="C5" i="37"/>
  <c r="C3" i="37"/>
  <c r="C68" i="36"/>
  <c r="C55" i="36"/>
  <c r="C54" i="36"/>
  <c r="C53" i="36"/>
  <c r="C45" i="36"/>
  <c r="C41" i="36"/>
  <c r="C37" i="36"/>
  <c r="C36" i="36"/>
  <c r="C29" i="36"/>
  <c r="C25" i="36"/>
  <c r="C23" i="36"/>
  <c r="C22" i="36"/>
  <c r="C15" i="36"/>
  <c r="C6" i="36"/>
  <c r="C5" i="36"/>
  <c r="C3" i="36"/>
  <c r="C68" i="35"/>
  <c r="C55" i="35"/>
  <c r="C54" i="35"/>
  <c r="C53" i="35"/>
  <c r="C45" i="35"/>
  <c r="C41" i="35"/>
  <c r="C37" i="35"/>
  <c r="C36" i="35"/>
  <c r="C29" i="35"/>
  <c r="C25" i="35"/>
  <c r="C23" i="35"/>
  <c r="C22" i="35"/>
  <c r="C15" i="35"/>
  <c r="C6" i="35"/>
  <c r="C5" i="35"/>
  <c r="C3" i="35"/>
  <c r="C68" i="34"/>
  <c r="C55" i="34"/>
  <c r="C54" i="34"/>
  <c r="C53" i="34"/>
  <c r="C45" i="34"/>
  <c r="C41" i="34"/>
  <c r="C37" i="34"/>
  <c r="C36" i="34"/>
  <c r="C29" i="34"/>
  <c r="C25" i="34"/>
  <c r="C23" i="34"/>
  <c r="C22" i="34"/>
  <c r="C15" i="34"/>
  <c r="C6" i="34"/>
  <c r="C5" i="34"/>
  <c r="C3" i="34"/>
  <c r="C68" i="33"/>
  <c r="C55" i="33"/>
  <c r="C54" i="33"/>
  <c r="C53" i="33"/>
  <c r="C51" i="33"/>
  <c r="C45" i="33"/>
  <c r="C41" i="33"/>
  <c r="C37" i="33"/>
  <c r="C36" i="33"/>
  <c r="C29" i="33"/>
  <c r="C25" i="33"/>
  <c r="C23" i="33"/>
  <c r="C22" i="33"/>
  <c r="C15" i="33"/>
  <c r="C6" i="33"/>
  <c r="C5" i="33"/>
  <c r="C3" i="33"/>
  <c r="C68" i="32"/>
  <c r="C55" i="32"/>
  <c r="C54" i="32"/>
  <c r="C53" i="32"/>
  <c r="C45" i="32"/>
  <c r="C41" i="32"/>
  <c r="C37" i="32"/>
  <c r="C36" i="32"/>
  <c r="C29" i="32"/>
  <c r="C25" i="32"/>
  <c r="C24" i="32"/>
  <c r="C23" i="32"/>
  <c r="C22" i="32"/>
  <c r="C15" i="32"/>
  <c r="C6" i="32"/>
  <c r="C5" i="32"/>
  <c r="C3" i="32"/>
  <c r="C68" i="31"/>
  <c r="C55" i="31"/>
  <c r="C54" i="31"/>
  <c r="C53" i="31"/>
  <c r="C45" i="31"/>
  <c r="C41" i="31"/>
  <c r="C37" i="31"/>
  <c r="C36" i="31"/>
  <c r="C29" i="31"/>
  <c r="C25" i="31"/>
  <c r="C23" i="31"/>
  <c r="C22" i="31"/>
  <c r="C15" i="31"/>
  <c r="C6" i="31"/>
  <c r="C5" i="31"/>
  <c r="C3" i="31"/>
  <c r="C68" i="30"/>
  <c r="C55" i="30"/>
  <c r="C54" i="30"/>
  <c r="C53" i="30"/>
  <c r="C45" i="30"/>
  <c r="C41" i="30"/>
  <c r="C37" i="30"/>
  <c r="C36" i="30"/>
  <c r="C29" i="30"/>
  <c r="C25" i="30"/>
  <c r="C23" i="30"/>
  <c r="C22" i="30"/>
  <c r="C15" i="30"/>
  <c r="C6" i="30"/>
  <c r="C5" i="30"/>
  <c r="C3" i="30"/>
  <c r="C68" i="29"/>
  <c r="C55" i="29"/>
  <c r="C54" i="29"/>
  <c r="C53" i="29"/>
  <c r="C45" i="29"/>
  <c r="C41" i="29"/>
  <c r="C37" i="29"/>
  <c r="C36" i="29"/>
  <c r="C29" i="29"/>
  <c r="C25" i="29"/>
  <c r="C23" i="29"/>
  <c r="C22" i="29"/>
  <c r="C15" i="29"/>
  <c r="C6" i="29"/>
  <c r="C5" i="29"/>
  <c r="C3" i="29"/>
  <c r="C68" i="28"/>
  <c r="C55" i="28"/>
  <c r="C54" i="28"/>
  <c r="C53" i="28"/>
  <c r="C45" i="28"/>
  <c r="C41" i="28"/>
  <c r="C37" i="28"/>
  <c r="C36" i="28"/>
  <c r="C29" i="28"/>
  <c r="C25" i="28"/>
  <c r="C23" i="28"/>
  <c r="C22" i="28"/>
  <c r="C15" i="28"/>
  <c r="C6" i="28"/>
  <c r="C5" i="28"/>
  <c r="C3" i="28"/>
  <c r="C68" i="27"/>
  <c r="C55" i="27"/>
  <c r="C54" i="27"/>
  <c r="C53" i="27"/>
  <c r="C45" i="27"/>
  <c r="C41" i="27"/>
  <c r="C37" i="27"/>
  <c r="C36" i="27"/>
  <c r="C29" i="27"/>
  <c r="C25" i="27"/>
  <c r="C23" i="27"/>
  <c r="C22" i="27"/>
  <c r="C15" i="27"/>
  <c r="C6" i="27"/>
  <c r="C5" i="27"/>
  <c r="C3" i="27"/>
  <c r="C68" i="26"/>
  <c r="C55" i="26"/>
  <c r="C54" i="26"/>
  <c r="C53" i="26"/>
  <c r="C45" i="26"/>
  <c r="C41" i="26"/>
  <c r="C37" i="26"/>
  <c r="C36" i="26"/>
  <c r="C29" i="26"/>
  <c r="C25" i="26"/>
  <c r="C23" i="26"/>
  <c r="C22" i="26"/>
  <c r="C15" i="26"/>
  <c r="C6" i="26"/>
  <c r="C5" i="26"/>
  <c r="C3" i="26"/>
  <c r="C68" i="25"/>
  <c r="C55" i="25"/>
  <c r="C54" i="25"/>
  <c r="C53" i="25"/>
  <c r="C45" i="25"/>
  <c r="C41" i="25"/>
  <c r="C37" i="25"/>
  <c r="C36" i="25"/>
  <c r="C29" i="25"/>
  <c r="C25" i="25"/>
  <c r="C23" i="25"/>
  <c r="C22" i="25"/>
  <c r="C15" i="25"/>
  <c r="C6" i="25"/>
  <c r="C5" i="25"/>
  <c r="C3" i="25"/>
  <c r="C68" i="24"/>
  <c r="C55" i="24"/>
  <c r="C54" i="24"/>
  <c r="C53" i="24"/>
  <c r="C45" i="24"/>
  <c r="C41" i="24"/>
  <c r="C37" i="24"/>
  <c r="C36" i="24"/>
  <c r="C29" i="24"/>
  <c r="C25" i="24"/>
  <c r="C23" i="24"/>
  <c r="C22" i="24"/>
  <c r="C15" i="24"/>
  <c r="C6" i="24"/>
  <c r="C5" i="24"/>
  <c r="C3" i="24"/>
  <c r="C68" i="23"/>
  <c r="C55" i="23"/>
  <c r="C54" i="23"/>
  <c r="C53" i="23"/>
  <c r="C45" i="23"/>
  <c r="C41" i="23"/>
  <c r="C37" i="23"/>
  <c r="C36" i="23"/>
  <c r="C29" i="23"/>
  <c r="C25" i="23"/>
  <c r="C23" i="23"/>
  <c r="C22" i="23"/>
  <c r="C15" i="23"/>
  <c r="C6" i="23"/>
  <c r="C5" i="23"/>
  <c r="C3" i="23"/>
  <c r="C68" i="22"/>
  <c r="C55" i="22"/>
  <c r="C54" i="22"/>
  <c r="C53" i="22"/>
  <c r="C45" i="22"/>
  <c r="C41" i="22"/>
  <c r="C37" i="22"/>
  <c r="C36" i="22"/>
  <c r="C29" i="22"/>
  <c r="C25" i="22"/>
  <c r="C23" i="22"/>
  <c r="C22" i="22"/>
  <c r="C15" i="22"/>
  <c r="C6" i="22"/>
  <c r="C5" i="22"/>
  <c r="C3" i="22"/>
  <c r="C68" i="21"/>
  <c r="C55" i="21"/>
  <c r="C54" i="21"/>
  <c r="C53" i="21"/>
  <c r="C45" i="21"/>
  <c r="C41" i="21"/>
  <c r="C37" i="21"/>
  <c r="C36" i="21"/>
  <c r="C29" i="21"/>
  <c r="C25" i="21"/>
  <c r="C23" i="21"/>
  <c r="C22" i="21"/>
  <c r="C15" i="21"/>
  <c r="C6" i="21"/>
  <c r="C5" i="21"/>
  <c r="C3" i="21"/>
  <c r="C68" i="20"/>
  <c r="C55" i="20"/>
  <c r="C54" i="20"/>
  <c r="C53" i="20"/>
  <c r="C45" i="20"/>
  <c r="C41" i="20"/>
  <c r="C37" i="20"/>
  <c r="C36" i="20"/>
  <c r="C29" i="20"/>
  <c r="C25" i="20"/>
  <c r="C23" i="20"/>
  <c r="C22" i="20"/>
  <c r="C15" i="20"/>
  <c r="C6" i="20"/>
  <c r="C5" i="20"/>
  <c r="C3" i="20"/>
  <c r="C68" i="19"/>
  <c r="C55" i="19"/>
  <c r="C54" i="19"/>
  <c r="C53" i="19"/>
  <c r="C45" i="19"/>
  <c r="C41" i="19"/>
  <c r="C37" i="19"/>
  <c r="C36" i="19"/>
  <c r="C29" i="19"/>
  <c r="C25" i="19"/>
  <c r="C23" i="19"/>
  <c r="C22" i="19"/>
  <c r="C15" i="19"/>
  <c r="C6" i="19"/>
  <c r="C5" i="19"/>
  <c r="C3" i="19"/>
  <c r="C68" i="18"/>
  <c r="C55" i="18"/>
  <c r="C54" i="18"/>
  <c r="C53" i="18"/>
  <c r="C45" i="18"/>
  <c r="C41" i="18"/>
  <c r="C38" i="18"/>
  <c r="C37" i="18"/>
  <c r="C36" i="18"/>
  <c r="C29" i="18"/>
  <c r="C25" i="18"/>
  <c r="C23" i="18"/>
  <c r="C22" i="18"/>
  <c r="C15" i="18"/>
  <c r="C6" i="18"/>
  <c r="C5" i="18"/>
  <c r="C3" i="18"/>
  <c r="C68" i="17"/>
  <c r="C55" i="17"/>
  <c r="C54" i="17"/>
  <c r="C53" i="17"/>
  <c r="C45" i="17"/>
  <c r="C41" i="17"/>
  <c r="C37" i="17"/>
  <c r="C36" i="17"/>
  <c r="C29" i="17"/>
  <c r="C25" i="17"/>
  <c r="C23" i="17"/>
  <c r="C22" i="17"/>
  <c r="C15" i="17"/>
  <c r="C6" i="17"/>
  <c r="C5" i="17"/>
  <c r="C3" i="17"/>
  <c r="C68" i="16"/>
  <c r="C55" i="16"/>
  <c r="C54" i="16"/>
  <c r="C53" i="16"/>
  <c r="C45" i="16"/>
  <c r="C41" i="16"/>
  <c r="C37" i="16"/>
  <c r="C36" i="16"/>
  <c r="C29" i="16"/>
  <c r="C25" i="16"/>
  <c r="C23" i="16"/>
  <c r="C22" i="16"/>
  <c r="C15" i="16"/>
  <c r="C6" i="16"/>
  <c r="C5" i="16"/>
  <c r="C3" i="16"/>
  <c r="C68" i="15"/>
  <c r="C55" i="15"/>
  <c r="C54" i="15"/>
  <c r="C53" i="15"/>
  <c r="C45" i="15"/>
  <c r="C41" i="15"/>
  <c r="C37" i="15"/>
  <c r="C36" i="15"/>
  <c r="C29" i="15"/>
  <c r="C25" i="15"/>
  <c r="C23" i="15"/>
  <c r="C22" i="15"/>
  <c r="C15" i="15"/>
  <c r="C6" i="15"/>
  <c r="C5" i="15"/>
  <c r="C3" i="15"/>
  <c r="C68" i="14"/>
  <c r="C55" i="14"/>
  <c r="C54" i="14"/>
  <c r="C53" i="14"/>
  <c r="C45" i="14"/>
  <c r="C41" i="14"/>
  <c r="C37" i="14"/>
  <c r="C36" i="14"/>
  <c r="C29" i="14"/>
  <c r="C25" i="14"/>
  <c r="C23" i="14"/>
  <c r="C22" i="14"/>
  <c r="C15" i="14"/>
  <c r="C6" i="14"/>
  <c r="C5" i="14"/>
  <c r="C3" i="14"/>
  <c r="C68" i="13"/>
  <c r="C55" i="13"/>
  <c r="C54" i="13"/>
  <c r="C53" i="13"/>
  <c r="C45" i="13"/>
  <c r="C41" i="13"/>
  <c r="C37" i="13"/>
  <c r="C36" i="13"/>
  <c r="C29" i="13"/>
  <c r="C25" i="13"/>
  <c r="C23" i="13"/>
  <c r="C22" i="13"/>
  <c r="C15" i="13"/>
  <c r="C6" i="13"/>
  <c r="C5" i="13"/>
  <c r="C3" i="13"/>
  <c r="C68" i="12"/>
  <c r="C55" i="12"/>
  <c r="C54" i="12"/>
  <c r="C53" i="12"/>
  <c r="C45" i="12"/>
  <c r="C41" i="12"/>
  <c r="C38" i="12"/>
  <c r="C37" i="12"/>
  <c r="C36" i="12"/>
  <c r="C29" i="12"/>
  <c r="C25" i="12"/>
  <c r="C23" i="12"/>
  <c r="C22" i="12"/>
  <c r="C15" i="12"/>
  <c r="C6" i="12"/>
  <c r="C5" i="12"/>
  <c r="C3" i="12"/>
  <c r="C68" i="11"/>
  <c r="C55" i="11"/>
  <c r="C54" i="11"/>
  <c r="C53" i="11"/>
  <c r="C45" i="11"/>
  <c r="C41" i="11"/>
  <c r="C39" i="11"/>
  <c r="C37" i="11"/>
  <c r="C36" i="11"/>
  <c r="C29" i="11"/>
  <c r="C25" i="11"/>
  <c r="C23" i="11"/>
  <c r="C22" i="11"/>
  <c r="C15" i="11"/>
  <c r="C6" i="11"/>
  <c r="C5" i="11"/>
  <c r="C3" i="11"/>
  <c r="C68" i="10"/>
  <c r="C55" i="10"/>
  <c r="C54" i="10"/>
  <c r="C53" i="10"/>
  <c r="C45" i="10"/>
  <c r="C41" i="10"/>
  <c r="C38" i="10"/>
  <c r="C37" i="10"/>
  <c r="C36" i="10"/>
  <c r="C30" i="10"/>
  <c r="C29" i="10"/>
  <c r="C25" i="10"/>
  <c r="C23" i="10"/>
  <c r="C22" i="10"/>
  <c r="C15" i="10"/>
  <c r="C6" i="10"/>
  <c r="C5" i="10"/>
  <c r="C3" i="10"/>
  <c r="C68" i="9"/>
  <c r="C55" i="9"/>
  <c r="C54" i="9"/>
  <c r="C53" i="9"/>
  <c r="C45" i="9"/>
  <c r="C41" i="9"/>
  <c r="C37" i="9"/>
  <c r="C36" i="9"/>
  <c r="C29" i="9"/>
  <c r="C25" i="9"/>
  <c r="C23" i="9"/>
  <c r="C22" i="9"/>
  <c r="C15" i="9"/>
  <c r="C6" i="9"/>
  <c r="C5" i="9"/>
  <c r="C3" i="9"/>
  <c r="C68" i="8"/>
  <c r="C55" i="8"/>
  <c r="C54" i="8"/>
  <c r="C53" i="8"/>
  <c r="C45" i="8"/>
  <c r="C41" i="8"/>
  <c r="C37" i="8"/>
  <c r="C36" i="8"/>
  <c r="C29" i="8"/>
  <c r="C25" i="8"/>
  <c r="C23" i="8"/>
  <c r="C22" i="8"/>
  <c r="C15" i="8"/>
  <c r="C14" i="8"/>
  <c r="C16" i="8" s="1"/>
  <c r="C6" i="8"/>
  <c r="C5" i="8"/>
  <c r="C3" i="8"/>
  <c r="C68" i="7"/>
  <c r="C55" i="7"/>
  <c r="C54" i="7"/>
  <c r="C53" i="7"/>
  <c r="C45" i="7"/>
  <c r="C41" i="7"/>
  <c r="C37" i="7"/>
  <c r="C36" i="7"/>
  <c r="C29" i="7"/>
  <c r="C25" i="7"/>
  <c r="C23" i="7"/>
  <c r="C22" i="7"/>
  <c r="C15" i="7"/>
  <c r="C6" i="7"/>
  <c r="C5" i="7"/>
  <c r="C3" i="7"/>
  <c r="C68" i="6"/>
  <c r="C55" i="6"/>
  <c r="C54" i="6"/>
  <c r="C53" i="6"/>
  <c r="C45" i="6"/>
  <c r="C41" i="6"/>
  <c r="E8" i="1" s="1"/>
  <c r="E9" i="1" s="1"/>
  <c r="C37" i="6"/>
  <c r="C36" i="6"/>
  <c r="C29" i="6"/>
  <c r="C25" i="6"/>
  <c r="C24" i="6"/>
  <c r="C23" i="6"/>
  <c r="C22" i="6"/>
  <c r="C15" i="6"/>
  <c r="C6" i="6"/>
  <c r="C5" i="6"/>
  <c r="C3" i="6"/>
  <c r="C68" i="5"/>
  <c r="C55" i="5"/>
  <c r="C54" i="5"/>
  <c r="C53" i="5"/>
  <c r="C45" i="5"/>
  <c r="C41" i="5"/>
  <c r="C39" i="5"/>
  <c r="C38" i="5"/>
  <c r="C37" i="5"/>
  <c r="C36" i="5"/>
  <c r="C29" i="5"/>
  <c r="C25" i="5"/>
  <c r="C23" i="5"/>
  <c r="C22" i="5"/>
  <c r="C15" i="5"/>
  <c r="C16" i="5" s="1"/>
  <c r="C14" i="5"/>
  <c r="C6" i="5"/>
  <c r="C5" i="5"/>
  <c r="C3" i="5"/>
  <c r="C68" i="3"/>
  <c r="C55" i="3"/>
  <c r="C54" i="3"/>
  <c r="C53" i="3"/>
  <c r="C45" i="3"/>
  <c r="C41" i="3"/>
  <c r="C38" i="3"/>
  <c r="C37" i="3"/>
  <c r="C36" i="3"/>
  <c r="C29" i="3"/>
  <c r="C25" i="3"/>
  <c r="C23" i="3"/>
  <c r="C22" i="3"/>
  <c r="C15" i="3"/>
  <c r="C6" i="3"/>
  <c r="C5" i="3"/>
  <c r="C3" i="3"/>
  <c r="F78" i="2"/>
  <c r="E78" i="2"/>
  <c r="D78" i="2"/>
  <c r="C78" i="2"/>
  <c r="F51" i="2"/>
  <c r="E51" i="2"/>
  <c r="E52" i="2" s="1"/>
  <c r="E57" i="2" s="1"/>
  <c r="D51" i="2"/>
  <c r="D52" i="2" s="1"/>
  <c r="C51" i="2"/>
  <c r="C51" i="20" s="1"/>
  <c r="F47" i="2"/>
  <c r="F48" i="2" s="1"/>
  <c r="F46" i="2"/>
  <c r="E46" i="2"/>
  <c r="E47" i="2" s="1"/>
  <c r="E48" i="2" s="1"/>
  <c r="D46" i="2"/>
  <c r="C46" i="11" s="1"/>
  <c r="C46" i="2"/>
  <c r="C46" i="6" s="1"/>
  <c r="F41" i="2"/>
  <c r="E41" i="2"/>
  <c r="D41" i="2"/>
  <c r="C41" i="2"/>
  <c r="F39" i="2"/>
  <c r="E39" i="2"/>
  <c r="D39" i="2"/>
  <c r="C39" i="8" s="1"/>
  <c r="C39" i="2"/>
  <c r="C39" i="23" s="1"/>
  <c r="F38" i="2"/>
  <c r="E38" i="2"/>
  <c r="E40" i="2" s="1"/>
  <c r="E42" i="2" s="1"/>
  <c r="D38" i="2"/>
  <c r="C38" i="11" s="1"/>
  <c r="C38" i="2"/>
  <c r="C38" i="23" s="1"/>
  <c r="F30" i="2"/>
  <c r="E30" i="2"/>
  <c r="D30" i="2"/>
  <c r="C30" i="2"/>
  <c r="C30" i="22" s="1"/>
  <c r="F26" i="2"/>
  <c r="E26" i="2"/>
  <c r="F24" i="2"/>
  <c r="E24" i="2"/>
  <c r="D24" i="2"/>
  <c r="C24" i="11" s="1"/>
  <c r="C24" i="2"/>
  <c r="F16" i="2"/>
  <c r="F19" i="2" s="1"/>
  <c r="E16" i="2"/>
  <c r="E19" i="2" s="1"/>
  <c r="F14" i="2"/>
  <c r="E14" i="2"/>
  <c r="D14" i="2"/>
  <c r="C14" i="11" s="1"/>
  <c r="C16" i="11" s="1"/>
  <c r="C14" i="2"/>
  <c r="C14" i="26" s="1"/>
  <c r="C16" i="26" s="1"/>
  <c r="E69" i="1"/>
  <c r="E68" i="1"/>
  <c r="E67" i="1"/>
  <c r="E66" i="1"/>
  <c r="E65" i="1"/>
  <c r="E64" i="1"/>
  <c r="E62" i="1"/>
  <c r="E63" i="1" s="1"/>
  <c r="E60" i="1"/>
  <c r="E61" i="1" s="1"/>
  <c r="E58" i="1"/>
  <c r="E59" i="1" s="1"/>
  <c r="E56" i="1"/>
  <c r="E57" i="1" s="1"/>
  <c r="E54" i="1"/>
  <c r="E55" i="1" s="1"/>
  <c r="E52" i="1"/>
  <c r="E53" i="1" s="1"/>
  <c r="E50" i="1"/>
  <c r="E51" i="1" s="1"/>
  <c r="E48" i="1"/>
  <c r="E49" i="1" s="1"/>
  <c r="E46" i="1"/>
  <c r="E47" i="1" s="1"/>
  <c r="E44" i="1"/>
  <c r="E45" i="1" s="1"/>
  <c r="E42" i="1"/>
  <c r="E43" i="1" s="1"/>
  <c r="E40" i="1"/>
  <c r="E41" i="1" s="1"/>
  <c r="E38" i="1"/>
  <c r="E39" i="1" s="1"/>
  <c r="E36" i="1"/>
  <c r="E37" i="1" s="1"/>
  <c r="E34" i="1"/>
  <c r="E35" i="1" s="1"/>
  <c r="E32" i="1"/>
  <c r="E33" i="1" s="1"/>
  <c r="E30" i="1"/>
  <c r="E31" i="1" s="1"/>
  <c r="E28" i="1"/>
  <c r="E29" i="1" s="1"/>
  <c r="E26" i="1"/>
  <c r="E27" i="1" s="1"/>
  <c r="E24" i="1"/>
  <c r="E25" i="1" s="1"/>
  <c r="E22" i="1"/>
  <c r="E23" i="1" s="1"/>
  <c r="E21" i="1"/>
  <c r="E20" i="1"/>
  <c r="E18" i="1"/>
  <c r="E19" i="1" s="1"/>
  <c r="E16" i="1"/>
  <c r="E17" i="1" s="1"/>
  <c r="E14" i="1"/>
  <c r="E15" i="1" s="1"/>
  <c r="E12" i="1"/>
  <c r="E13" i="1" s="1"/>
  <c r="E10" i="1"/>
  <c r="E11" i="1" s="1"/>
  <c r="E6" i="1"/>
  <c r="E7" i="1" s="1"/>
  <c r="E4" i="1"/>
  <c r="E5" i="1" s="1"/>
  <c r="E2" i="1"/>
  <c r="E3" i="1" s="1"/>
  <c r="C68" i="4"/>
  <c r="C55" i="4"/>
  <c r="C54" i="4"/>
  <c r="C53" i="4"/>
  <c r="C51" i="4"/>
  <c r="C46" i="4"/>
  <c r="C45" i="4"/>
  <c r="C41" i="4"/>
  <c r="C38" i="4"/>
  <c r="C37" i="4"/>
  <c r="C36" i="4"/>
  <c r="C29" i="4"/>
  <c r="C25" i="4"/>
  <c r="C23" i="4"/>
  <c r="C22" i="4"/>
  <c r="C15" i="4"/>
  <c r="C14" i="4"/>
  <c r="C16" i="4" s="1"/>
  <c r="C6" i="4"/>
  <c r="C5" i="4"/>
  <c r="C3" i="4"/>
  <c r="E32" i="2" l="1"/>
  <c r="C52" i="21"/>
  <c r="C52" i="12"/>
  <c r="C52" i="29"/>
  <c r="C52" i="17"/>
  <c r="C52" i="34"/>
  <c r="C52" i="10"/>
  <c r="C52" i="37"/>
  <c r="D57" i="2"/>
  <c r="C52" i="5"/>
  <c r="C52" i="14"/>
  <c r="C52" i="8"/>
  <c r="C52" i="11"/>
  <c r="C19" i="31"/>
  <c r="C19" i="36"/>
  <c r="C19" i="32"/>
  <c r="C19" i="35"/>
  <c r="C19" i="33"/>
  <c r="E59" i="2"/>
  <c r="E61" i="2" s="1"/>
  <c r="C26" i="32"/>
  <c r="C26" i="35"/>
  <c r="C26" i="33"/>
  <c r="C26" i="31"/>
  <c r="C26" i="36"/>
  <c r="C38" i="31"/>
  <c r="C38" i="32"/>
  <c r="C38" i="35"/>
  <c r="C38" i="33"/>
  <c r="C46" i="9"/>
  <c r="C30" i="28"/>
  <c r="C47" i="35"/>
  <c r="C48" i="35" s="1"/>
  <c r="C30" i="15"/>
  <c r="C51" i="21"/>
  <c r="C30" i="7"/>
  <c r="C30" i="4"/>
  <c r="C30" i="11"/>
  <c r="C30" i="21"/>
  <c r="C30" i="14"/>
  <c r="C30" i="12"/>
  <c r="C30" i="29"/>
  <c r="C30" i="17"/>
  <c r="C30" i="5"/>
  <c r="C30" i="34"/>
  <c r="C30" i="8"/>
  <c r="C30" i="37"/>
  <c r="C39" i="12"/>
  <c r="C39" i="34"/>
  <c r="C39" i="37"/>
  <c r="C39" i="21"/>
  <c r="C39" i="14"/>
  <c r="C30" i="3"/>
  <c r="C30" i="16"/>
  <c r="C14" i="20"/>
  <c r="C16" i="20" s="1"/>
  <c r="C30" i="35"/>
  <c r="C30" i="33"/>
  <c r="C30" i="31"/>
  <c r="C30" i="36"/>
  <c r="C30" i="32"/>
  <c r="C30" i="9"/>
  <c r="C39" i="17"/>
  <c r="C30" i="27"/>
  <c r="C51" i="23"/>
  <c r="C51" i="28"/>
  <c r="C51" i="16"/>
  <c r="C51" i="3"/>
  <c r="C51" i="38"/>
  <c r="C51" i="26"/>
  <c r="C51" i="19"/>
  <c r="C51" i="24"/>
  <c r="C51" i="22"/>
  <c r="C51" i="27"/>
  <c r="C51" i="25"/>
  <c r="C51" i="13"/>
  <c r="C51" i="30"/>
  <c r="C51" i="18"/>
  <c r="C51" i="9"/>
  <c r="C46" i="20"/>
  <c r="C46" i="25"/>
  <c r="C46" i="13"/>
  <c r="C46" i="23"/>
  <c r="C46" i="28"/>
  <c r="C46" i="16"/>
  <c r="C46" i="38"/>
  <c r="C46" i="26"/>
  <c r="C46" i="19"/>
  <c r="C46" i="7"/>
  <c r="C46" i="24"/>
  <c r="C46" i="22"/>
  <c r="C46" i="27"/>
  <c r="C46" i="15"/>
  <c r="C14" i="28"/>
  <c r="C16" i="28" s="1"/>
  <c r="C14" i="16"/>
  <c r="C16" i="16" s="1"/>
  <c r="C14" i="3"/>
  <c r="C16" i="3" s="1"/>
  <c r="C14" i="9"/>
  <c r="C16" i="9" s="1"/>
  <c r="C14" i="19"/>
  <c r="C16" i="19" s="1"/>
  <c r="C14" i="24"/>
  <c r="C16" i="24" s="1"/>
  <c r="C14" i="22"/>
  <c r="C16" i="22" s="1"/>
  <c r="C14" i="27"/>
  <c r="C16" i="27" s="1"/>
  <c r="C14" i="15"/>
  <c r="C16" i="15" s="1"/>
  <c r="C14" i="30"/>
  <c r="C16" i="30" s="1"/>
  <c r="C14" i="18"/>
  <c r="C16" i="18" s="1"/>
  <c r="C14" i="6"/>
  <c r="C16" i="6" s="1"/>
  <c r="C14" i="23"/>
  <c r="C16" i="23" s="1"/>
  <c r="C24" i="22"/>
  <c r="C24" i="27"/>
  <c r="C24" i="15"/>
  <c r="C24" i="25"/>
  <c r="C24" i="30"/>
  <c r="C24" i="18"/>
  <c r="C24" i="23"/>
  <c r="C24" i="28"/>
  <c r="C24" i="16"/>
  <c r="C24" i="3"/>
  <c r="C24" i="9"/>
  <c r="C24" i="38"/>
  <c r="C24" i="26"/>
  <c r="C24" i="24"/>
  <c r="C32" i="2"/>
  <c r="C40" i="2"/>
  <c r="C46" i="8"/>
  <c r="C46" i="37"/>
  <c r="C46" i="21"/>
  <c r="C46" i="14"/>
  <c r="C46" i="29"/>
  <c r="C46" i="34"/>
  <c r="C46" i="10"/>
  <c r="C39" i="10"/>
  <c r="C39" i="16"/>
  <c r="C38" i="36"/>
  <c r="C51" i="6"/>
  <c r="C14" i="21"/>
  <c r="C16" i="21" s="1"/>
  <c r="C14" i="12"/>
  <c r="C16" i="12" s="1"/>
  <c r="C14" i="29"/>
  <c r="C16" i="29" s="1"/>
  <c r="C14" i="17"/>
  <c r="C16" i="17" s="1"/>
  <c r="C14" i="34"/>
  <c r="C16" i="34" s="1"/>
  <c r="C14" i="10"/>
  <c r="C16" i="10" s="1"/>
  <c r="C14" i="37"/>
  <c r="C16" i="37" s="1"/>
  <c r="D40" i="2"/>
  <c r="C51" i="35"/>
  <c r="C51" i="31"/>
  <c r="C51" i="36"/>
  <c r="C51" i="32"/>
  <c r="C39" i="3"/>
  <c r="C14" i="7"/>
  <c r="C16" i="7" s="1"/>
  <c r="C24" i="8"/>
  <c r="C51" i="8"/>
  <c r="C46" i="12"/>
  <c r="C14" i="13"/>
  <c r="C16" i="13" s="1"/>
  <c r="C14" i="14"/>
  <c r="C16" i="14" s="1"/>
  <c r="C46" i="18"/>
  <c r="C24" i="20"/>
  <c r="C38" i="24"/>
  <c r="C14" i="25"/>
  <c r="C16" i="25" s="1"/>
  <c r="C46" i="30"/>
  <c r="C47" i="33"/>
  <c r="C48" i="33" s="1"/>
  <c r="C47" i="31"/>
  <c r="C48" i="31" s="1"/>
  <c r="C47" i="36"/>
  <c r="C48" i="36" s="1"/>
  <c r="C47" i="32"/>
  <c r="C48" i="32" s="1"/>
  <c r="C30" i="30"/>
  <c r="C30" i="18"/>
  <c r="C30" i="6"/>
  <c r="C30" i="23"/>
  <c r="C30" i="38"/>
  <c r="C30" i="26"/>
  <c r="C30" i="19"/>
  <c r="C30" i="24"/>
  <c r="C30" i="20"/>
  <c r="C30" i="25"/>
  <c r="C30" i="13"/>
  <c r="C24" i="34"/>
  <c r="C24" i="10"/>
  <c r="C24" i="37"/>
  <c r="C24" i="21"/>
  <c r="C24" i="12"/>
  <c r="C24" i="29"/>
  <c r="C24" i="17"/>
  <c r="C39" i="4"/>
  <c r="C46" i="32"/>
  <c r="C46" i="35"/>
  <c r="C46" i="33"/>
  <c r="C46" i="31"/>
  <c r="C46" i="36"/>
  <c r="C52" i="2"/>
  <c r="C46" i="5"/>
  <c r="C51" i="14"/>
  <c r="C46" i="17"/>
  <c r="C14" i="33"/>
  <c r="C16" i="33" s="1"/>
  <c r="C14" i="31"/>
  <c r="C16" i="31" s="1"/>
  <c r="C14" i="36"/>
  <c r="C16" i="36" s="1"/>
  <c r="C14" i="32"/>
  <c r="C16" i="32" s="1"/>
  <c r="C14" i="35"/>
  <c r="C16" i="35" s="1"/>
  <c r="C24" i="35"/>
  <c r="C24" i="33"/>
  <c r="C24" i="31"/>
  <c r="C24" i="36"/>
  <c r="F32" i="2"/>
  <c r="F40" i="2"/>
  <c r="C47" i="2"/>
  <c r="C24" i="5"/>
  <c r="C38" i="9"/>
  <c r="C24" i="19"/>
  <c r="C39" i="31"/>
  <c r="C39" i="36"/>
  <c r="C39" i="32"/>
  <c r="C39" i="35"/>
  <c r="C39" i="33"/>
  <c r="C51" i="11"/>
  <c r="C51" i="12"/>
  <c r="C51" i="29"/>
  <c r="C51" i="17"/>
  <c r="C51" i="5"/>
  <c r="C51" i="34"/>
  <c r="C51" i="10"/>
  <c r="C51" i="37"/>
  <c r="C16" i="2"/>
  <c r="C19" i="2" s="1"/>
  <c r="C26" i="2"/>
  <c r="C38" i="38"/>
  <c r="C38" i="26"/>
  <c r="C38" i="19"/>
  <c r="C38" i="7"/>
  <c r="C38" i="22"/>
  <c r="C38" i="27"/>
  <c r="C38" i="15"/>
  <c r="C38" i="20"/>
  <c r="C38" i="25"/>
  <c r="C38" i="13"/>
  <c r="C38" i="30"/>
  <c r="C38" i="28"/>
  <c r="C38" i="16"/>
  <c r="D47" i="2"/>
  <c r="C51" i="15"/>
  <c r="C14" i="38"/>
  <c r="C16" i="38" s="1"/>
  <c r="C39" i="19"/>
  <c r="C39" i="7"/>
  <c r="C39" i="24"/>
  <c r="C39" i="22"/>
  <c r="C39" i="27"/>
  <c r="C39" i="15"/>
  <c r="C39" i="20"/>
  <c r="C39" i="25"/>
  <c r="C39" i="13"/>
  <c r="C39" i="30"/>
  <c r="C39" i="18"/>
  <c r="C39" i="6"/>
  <c r="C39" i="28"/>
  <c r="C39" i="9"/>
  <c r="C39" i="38"/>
  <c r="C39" i="26"/>
  <c r="C24" i="4"/>
  <c r="D16" i="2"/>
  <c r="D19" i="2" s="1"/>
  <c r="D26" i="2"/>
  <c r="C38" i="14"/>
  <c r="C38" i="29"/>
  <c r="C38" i="17"/>
  <c r="C38" i="34"/>
  <c r="C38" i="8"/>
  <c r="C38" i="37"/>
  <c r="C38" i="21"/>
  <c r="F52" i="2"/>
  <c r="C46" i="3"/>
  <c r="C38" i="6"/>
  <c r="C24" i="7"/>
  <c r="C51" i="7"/>
  <c r="C24" i="13"/>
  <c r="C24" i="14"/>
  <c r="C39" i="29"/>
  <c r="C32" i="23" l="1"/>
  <c r="C32" i="28"/>
  <c r="C32" i="16"/>
  <c r="C32" i="3"/>
  <c r="C32" i="38"/>
  <c r="C32" i="26"/>
  <c r="C32" i="19"/>
  <c r="C32" i="24"/>
  <c r="C32" i="22"/>
  <c r="C32" i="27"/>
  <c r="C32" i="25"/>
  <c r="C32" i="13"/>
  <c r="C32" i="30"/>
  <c r="C32" i="18"/>
  <c r="C32" i="20"/>
  <c r="C32" i="6"/>
  <c r="C32" i="9"/>
  <c r="C32" i="4"/>
  <c r="C32" i="15"/>
  <c r="C32" i="7"/>
  <c r="C47" i="37"/>
  <c r="C48" i="37" s="1"/>
  <c r="C47" i="21"/>
  <c r="C48" i="21" s="1"/>
  <c r="C47" i="14"/>
  <c r="C48" i="14" s="1"/>
  <c r="C47" i="12"/>
  <c r="C48" i="12" s="1"/>
  <c r="C47" i="29"/>
  <c r="C48" i="29" s="1"/>
  <c r="C47" i="34"/>
  <c r="C48" i="34" s="1"/>
  <c r="C47" i="10"/>
  <c r="C48" i="10" s="1"/>
  <c r="C47" i="17"/>
  <c r="C48" i="17" s="1"/>
  <c r="C47" i="5"/>
  <c r="C48" i="5" s="1"/>
  <c r="C47" i="11"/>
  <c r="C48" i="11" s="1"/>
  <c r="C47" i="8"/>
  <c r="C48" i="8" s="1"/>
  <c r="D48" i="2"/>
  <c r="D59" i="2" s="1"/>
  <c r="D61" i="2" s="1"/>
  <c r="C19" i="12"/>
  <c r="C19" i="34"/>
  <c r="C19" i="37"/>
  <c r="C19" i="21"/>
  <c r="C19" i="14"/>
  <c r="C19" i="8"/>
  <c r="C19" i="17"/>
  <c r="C19" i="10"/>
  <c r="C19" i="5"/>
  <c r="C19" i="29"/>
  <c r="C19" i="11"/>
  <c r="C40" i="24"/>
  <c r="C42" i="24" s="1"/>
  <c r="C42" i="2"/>
  <c r="C40" i="27"/>
  <c r="C42" i="27" s="1"/>
  <c r="C40" i="20"/>
  <c r="C42" i="20" s="1"/>
  <c r="C40" i="25"/>
  <c r="C42" i="25" s="1"/>
  <c r="C40" i="13"/>
  <c r="C42" i="13" s="1"/>
  <c r="C40" i="30"/>
  <c r="C42" i="30" s="1"/>
  <c r="C40" i="18"/>
  <c r="C42" i="18" s="1"/>
  <c r="C40" i="6"/>
  <c r="C42" i="6" s="1"/>
  <c r="C40" i="23"/>
  <c r="C42" i="23" s="1"/>
  <c r="C40" i="28"/>
  <c r="C42" i="28" s="1"/>
  <c r="C40" i="38"/>
  <c r="C42" i="38" s="1"/>
  <c r="C40" i="26"/>
  <c r="C42" i="26" s="1"/>
  <c r="C40" i="19"/>
  <c r="C42" i="19" s="1"/>
  <c r="C40" i="9"/>
  <c r="C42" i="9" s="1"/>
  <c r="C40" i="22"/>
  <c r="C42" i="22" s="1"/>
  <c r="C40" i="4"/>
  <c r="C42" i="4" s="1"/>
  <c r="C40" i="3"/>
  <c r="C42" i="3" s="1"/>
  <c r="C40" i="16"/>
  <c r="C42" i="16" s="1"/>
  <c r="C40" i="15"/>
  <c r="C42" i="15" s="1"/>
  <c r="C40" i="7"/>
  <c r="C42" i="7" s="1"/>
  <c r="C57" i="12"/>
  <c r="C57" i="29"/>
  <c r="C57" i="17"/>
  <c r="C57" i="5"/>
  <c r="C59" i="5" s="1"/>
  <c r="C57" i="37"/>
  <c r="C59" i="37" s="1"/>
  <c r="C57" i="11"/>
  <c r="C57" i="14"/>
  <c r="C59" i="14" s="1"/>
  <c r="C57" i="34"/>
  <c r="C57" i="8"/>
  <c r="C57" i="21"/>
  <c r="C59" i="21" s="1"/>
  <c r="C57" i="10"/>
  <c r="E71" i="2"/>
  <c r="E65" i="2"/>
  <c r="E69" i="2"/>
  <c r="E67" i="2"/>
  <c r="D32" i="2"/>
  <c r="C40" i="12"/>
  <c r="C42" i="12" s="1"/>
  <c r="C40" i="29"/>
  <c r="C42" i="29" s="1"/>
  <c r="C40" i="17"/>
  <c r="C42" i="17" s="1"/>
  <c r="C40" i="5"/>
  <c r="C42" i="5" s="1"/>
  <c r="C40" i="37"/>
  <c r="C42" i="37" s="1"/>
  <c r="C40" i="11"/>
  <c r="C42" i="11" s="1"/>
  <c r="C40" i="14"/>
  <c r="C42" i="14" s="1"/>
  <c r="C40" i="21"/>
  <c r="C42" i="21" s="1"/>
  <c r="C40" i="10"/>
  <c r="C42" i="10" s="1"/>
  <c r="C40" i="34"/>
  <c r="C42" i="34" s="1"/>
  <c r="C40" i="8"/>
  <c r="C42" i="8" s="1"/>
  <c r="D42" i="2"/>
  <c r="C40" i="36"/>
  <c r="C42" i="36" s="1"/>
  <c r="C40" i="32"/>
  <c r="C42" i="32" s="1"/>
  <c r="C40" i="35"/>
  <c r="C42" i="35" s="1"/>
  <c r="C40" i="33"/>
  <c r="C42" i="33" s="1"/>
  <c r="C40" i="31"/>
  <c r="C42" i="31" s="1"/>
  <c r="F42" i="2"/>
  <c r="C32" i="35"/>
  <c r="C32" i="31"/>
  <c r="C32" i="36"/>
  <c r="C32" i="32"/>
  <c r="C32" i="33"/>
  <c r="C52" i="28"/>
  <c r="C52" i="16"/>
  <c r="C52" i="3"/>
  <c r="C57" i="2"/>
  <c r="C52" i="9"/>
  <c r="C52" i="19"/>
  <c r="C52" i="24"/>
  <c r="C52" i="22"/>
  <c r="C52" i="27"/>
  <c r="C52" i="15"/>
  <c r="C52" i="30"/>
  <c r="C52" i="18"/>
  <c r="C52" i="6"/>
  <c r="C52" i="23"/>
  <c r="C52" i="38"/>
  <c r="C52" i="4"/>
  <c r="C52" i="13"/>
  <c r="C52" i="25"/>
  <c r="C52" i="20"/>
  <c r="C52" i="26"/>
  <c r="C52" i="7"/>
  <c r="C47" i="25"/>
  <c r="C48" i="25" s="1"/>
  <c r="C47" i="13"/>
  <c r="C48" i="13" s="1"/>
  <c r="C48" i="2"/>
  <c r="C47" i="30"/>
  <c r="C48" i="30" s="1"/>
  <c r="C47" i="18"/>
  <c r="C48" i="18" s="1"/>
  <c r="C47" i="6"/>
  <c r="C48" i="6" s="1"/>
  <c r="C47" i="28"/>
  <c r="C48" i="28" s="1"/>
  <c r="C47" i="16"/>
  <c r="C48" i="16" s="1"/>
  <c r="C47" i="38"/>
  <c r="C48" i="38" s="1"/>
  <c r="C47" i="26"/>
  <c r="C48" i="26" s="1"/>
  <c r="C47" i="19"/>
  <c r="C48" i="19" s="1"/>
  <c r="C47" i="7"/>
  <c r="C48" i="7" s="1"/>
  <c r="C47" i="24"/>
  <c r="C48" i="24" s="1"/>
  <c r="C47" i="27"/>
  <c r="C48" i="27" s="1"/>
  <c r="C47" i="15"/>
  <c r="C48" i="15" s="1"/>
  <c r="C47" i="20"/>
  <c r="C48" i="20" s="1"/>
  <c r="C47" i="9"/>
  <c r="C48" i="9" s="1"/>
  <c r="C47" i="4"/>
  <c r="C48" i="4" s="1"/>
  <c r="C47" i="3"/>
  <c r="C48" i="3" s="1"/>
  <c r="C47" i="23"/>
  <c r="C48" i="23" s="1"/>
  <c r="C47" i="22"/>
  <c r="C48" i="22" s="1"/>
  <c r="C52" i="33"/>
  <c r="C52" i="31"/>
  <c r="C52" i="36"/>
  <c r="C52" i="32"/>
  <c r="C52" i="35"/>
  <c r="F57" i="2"/>
  <c r="C26" i="20"/>
  <c r="C26" i="25"/>
  <c r="C26" i="13"/>
  <c r="C26" i="23"/>
  <c r="C26" i="28"/>
  <c r="C26" i="16"/>
  <c r="C26" i="38"/>
  <c r="C26" i="26"/>
  <c r="C26" i="19"/>
  <c r="C26" i="7"/>
  <c r="C26" i="24"/>
  <c r="C26" i="22"/>
  <c r="C26" i="27"/>
  <c r="C26" i="15"/>
  <c r="C26" i="18"/>
  <c r="C26" i="6"/>
  <c r="C26" i="9"/>
  <c r="C26" i="30"/>
  <c r="C26" i="3"/>
  <c r="C26" i="4"/>
  <c r="C26" i="8"/>
  <c r="C26" i="37"/>
  <c r="C26" i="21"/>
  <c r="C26" i="14"/>
  <c r="C26" i="29"/>
  <c r="C26" i="34"/>
  <c r="C26" i="10"/>
  <c r="C26" i="5"/>
  <c r="C26" i="11"/>
  <c r="C26" i="12"/>
  <c r="C26" i="17"/>
  <c r="C19" i="19"/>
  <c r="C19" i="7"/>
  <c r="C19" i="24"/>
  <c r="C19" i="22"/>
  <c r="C19" i="27"/>
  <c r="C19" i="15"/>
  <c r="C19" i="20"/>
  <c r="C19" i="25"/>
  <c r="C19" i="13"/>
  <c r="C19" i="30"/>
  <c r="C19" i="18"/>
  <c r="C19" i="6"/>
  <c r="C19" i="28"/>
  <c r="C19" i="9"/>
  <c r="C19" i="38"/>
  <c r="C19" i="26"/>
  <c r="C19" i="4"/>
  <c r="C19" i="16"/>
  <c r="C19" i="3"/>
  <c r="C19" i="23"/>
  <c r="D65" i="2" l="1"/>
  <c r="D71" i="2"/>
  <c r="D69" i="2"/>
  <c r="D67" i="2"/>
  <c r="C59" i="8"/>
  <c r="C57" i="24"/>
  <c r="C59" i="24" s="1"/>
  <c r="C61" i="24" s="1"/>
  <c r="C57" i="27"/>
  <c r="C59" i="27" s="1"/>
  <c r="C61" i="27" s="1"/>
  <c r="C57" i="15"/>
  <c r="C59" i="15" s="1"/>
  <c r="C61" i="15" s="1"/>
  <c r="C57" i="20"/>
  <c r="C59" i="20" s="1"/>
  <c r="C61" i="20" s="1"/>
  <c r="C57" i="25"/>
  <c r="C59" i="25" s="1"/>
  <c r="C61" i="25" s="1"/>
  <c r="C57" i="13"/>
  <c r="C59" i="13" s="1"/>
  <c r="C61" i="13" s="1"/>
  <c r="C57" i="30"/>
  <c r="C59" i="30" s="1"/>
  <c r="C61" i="30" s="1"/>
  <c r="C57" i="18"/>
  <c r="C59" i="18" s="1"/>
  <c r="C61" i="18" s="1"/>
  <c r="C57" i="6"/>
  <c r="C59" i="6" s="1"/>
  <c r="C61" i="6" s="1"/>
  <c r="C57" i="23"/>
  <c r="C59" i="23" s="1"/>
  <c r="C61" i="23" s="1"/>
  <c r="C57" i="28"/>
  <c r="C59" i="28" s="1"/>
  <c r="C61" i="28" s="1"/>
  <c r="C57" i="38"/>
  <c r="C59" i="38" s="1"/>
  <c r="C61" i="38" s="1"/>
  <c r="C57" i="26"/>
  <c r="C59" i="26" s="1"/>
  <c r="C61" i="26" s="1"/>
  <c r="C57" i="19"/>
  <c r="C59" i="19" s="1"/>
  <c r="C61" i="19" s="1"/>
  <c r="C57" i="4"/>
  <c r="C59" i="4" s="1"/>
  <c r="C61" i="4" s="1"/>
  <c r="C57" i="9"/>
  <c r="C59" i="9" s="1"/>
  <c r="C61" i="9" s="1"/>
  <c r="C57" i="22"/>
  <c r="C59" i="22" s="1"/>
  <c r="C61" i="22" s="1"/>
  <c r="C57" i="3"/>
  <c r="C59" i="3" s="1"/>
  <c r="C61" i="3" s="1"/>
  <c r="C57" i="7"/>
  <c r="C59" i="7" s="1"/>
  <c r="C61" i="7" s="1"/>
  <c r="C59" i="2"/>
  <c r="C61" i="2" s="1"/>
  <c r="C57" i="16"/>
  <c r="C59" i="16" s="1"/>
  <c r="C61" i="16" s="1"/>
  <c r="C59" i="34"/>
  <c r="C32" i="11"/>
  <c r="C32" i="12"/>
  <c r="C32" i="29"/>
  <c r="C32" i="17"/>
  <c r="C32" i="5"/>
  <c r="C61" i="5" s="1"/>
  <c r="C32" i="34"/>
  <c r="C32" i="10"/>
  <c r="C32" i="37"/>
  <c r="C32" i="8"/>
  <c r="C32" i="21"/>
  <c r="C32" i="14"/>
  <c r="C61" i="14" s="1"/>
  <c r="C59" i="11"/>
  <c r="C61" i="11" s="1"/>
  <c r="C59" i="17"/>
  <c r="E74" i="2"/>
  <c r="E77" i="2" s="1"/>
  <c r="E79" i="2" s="1"/>
  <c r="C59" i="29"/>
  <c r="C61" i="29" s="1"/>
  <c r="C59" i="12"/>
  <c r="C61" i="12" s="1"/>
  <c r="C59" i="10"/>
  <c r="C61" i="37"/>
  <c r="C61" i="21"/>
  <c r="C57" i="36"/>
  <c r="C59" i="36" s="1"/>
  <c r="C61" i="36" s="1"/>
  <c r="C57" i="32"/>
  <c r="C59" i="32" s="1"/>
  <c r="C61" i="32" s="1"/>
  <c r="C57" i="35"/>
  <c r="C59" i="35" s="1"/>
  <c r="C61" i="35" s="1"/>
  <c r="C57" i="33"/>
  <c r="C59" i="33" s="1"/>
  <c r="C61" i="33" s="1"/>
  <c r="C57" i="31"/>
  <c r="C59" i="31" s="1"/>
  <c r="C61" i="31" s="1"/>
  <c r="F59" i="2"/>
  <c r="F61" i="2" s="1"/>
  <c r="C67" i="14" l="1"/>
  <c r="C66" i="14"/>
  <c r="C65" i="14"/>
  <c r="C64" i="14"/>
  <c r="C69" i="14" s="1"/>
  <c r="C71" i="14" s="1"/>
  <c r="C72" i="14" s="1"/>
  <c r="C67" i="5"/>
  <c r="C64" i="5"/>
  <c r="C66" i="5"/>
  <c r="C65" i="5"/>
  <c r="C67" i="30"/>
  <c r="C66" i="30"/>
  <c r="C64" i="30"/>
  <c r="C69" i="30" s="1"/>
  <c r="C71" i="30" s="1"/>
  <c r="C72" i="30" s="1"/>
  <c r="C65" i="30"/>
  <c r="C65" i="22"/>
  <c r="C64" i="22"/>
  <c r="C67" i="22"/>
  <c r="C66" i="22"/>
  <c r="C66" i="25"/>
  <c r="C65" i="25"/>
  <c r="C67" i="25"/>
  <c r="C64" i="25"/>
  <c r="C69" i="25" s="1"/>
  <c r="C71" i="25" s="1"/>
  <c r="C72" i="25" s="1"/>
  <c r="C64" i="15"/>
  <c r="C69" i="15" s="1"/>
  <c r="C71" i="15" s="1"/>
  <c r="C72" i="15" s="1"/>
  <c r="C66" i="15"/>
  <c r="C65" i="15"/>
  <c r="C67" i="15"/>
  <c r="C66" i="37"/>
  <c r="C65" i="37"/>
  <c r="C67" i="37"/>
  <c r="C64" i="37"/>
  <c r="C69" i="37" s="1"/>
  <c r="C71" i="37" s="1"/>
  <c r="C72" i="37" s="1"/>
  <c r="C64" i="27"/>
  <c r="C67" i="27"/>
  <c r="C66" i="27"/>
  <c r="C65" i="27"/>
  <c r="C61" i="17"/>
  <c r="C67" i="26"/>
  <c r="C66" i="26"/>
  <c r="C65" i="26"/>
  <c r="C64" i="26"/>
  <c r="C67" i="24"/>
  <c r="C66" i="24"/>
  <c r="C65" i="24"/>
  <c r="C64" i="24"/>
  <c r="C69" i="24" s="1"/>
  <c r="C71" i="24" s="1"/>
  <c r="C72" i="24" s="1"/>
  <c r="C66" i="13"/>
  <c r="C65" i="13"/>
  <c r="C67" i="13"/>
  <c r="C64" i="13"/>
  <c r="C69" i="13" s="1"/>
  <c r="C71" i="13" s="1"/>
  <c r="C72" i="13" s="1"/>
  <c r="C67" i="38"/>
  <c r="C66" i="38"/>
  <c r="C65" i="38"/>
  <c r="C64" i="38"/>
  <c r="C61" i="8"/>
  <c r="C66" i="7"/>
  <c r="C65" i="7"/>
  <c r="C67" i="7"/>
  <c r="C64" i="7"/>
  <c r="C69" i="7" s="1"/>
  <c r="C71" i="7" s="1"/>
  <c r="C72" i="7" s="1"/>
  <c r="C64" i="9"/>
  <c r="C67" i="9"/>
  <c r="C66" i="9"/>
  <c r="C65" i="9"/>
  <c r="C67" i="29"/>
  <c r="C66" i="29"/>
  <c r="C65" i="29"/>
  <c r="C64" i="29"/>
  <c r="C67" i="31"/>
  <c r="C66" i="31"/>
  <c r="C65" i="31"/>
  <c r="C64" i="31"/>
  <c r="C69" i="31" s="1"/>
  <c r="C71" i="31" s="1"/>
  <c r="C72" i="31" s="1"/>
  <c r="C67" i="33"/>
  <c r="C66" i="33"/>
  <c r="C65" i="33"/>
  <c r="C64" i="33"/>
  <c r="C67" i="11"/>
  <c r="C64" i="11"/>
  <c r="C65" i="11"/>
  <c r="C66" i="11"/>
  <c r="C66" i="28"/>
  <c r="C65" i="28"/>
  <c r="C64" i="28"/>
  <c r="C67" i="28"/>
  <c r="C67" i="21"/>
  <c r="C66" i="21"/>
  <c r="C65" i="21"/>
  <c r="C64" i="21"/>
  <c r="C69" i="21" s="1"/>
  <c r="C71" i="21" s="1"/>
  <c r="C72" i="21" s="1"/>
  <c r="C61" i="10"/>
  <c r="C65" i="20"/>
  <c r="C64" i="20"/>
  <c r="C67" i="20"/>
  <c r="C66" i="20"/>
  <c r="C67" i="35"/>
  <c r="C65" i="35"/>
  <c r="C64" i="35"/>
  <c r="C69" i="35" s="1"/>
  <c r="C71" i="35" s="1"/>
  <c r="C72" i="35" s="1"/>
  <c r="C66" i="35"/>
  <c r="C61" i="34"/>
  <c r="C67" i="23"/>
  <c r="C65" i="23"/>
  <c r="C64" i="23"/>
  <c r="C69" i="23" s="1"/>
  <c r="C71" i="23" s="1"/>
  <c r="C72" i="23" s="1"/>
  <c r="C66" i="23"/>
  <c r="C67" i="3"/>
  <c r="C66" i="3"/>
  <c r="C65" i="3"/>
  <c r="C64" i="3"/>
  <c r="C69" i="3" s="1"/>
  <c r="C71" i="3" s="1"/>
  <c r="C72" i="3" s="1"/>
  <c r="C67" i="12"/>
  <c r="C66" i="12"/>
  <c r="C64" i="12"/>
  <c r="C65" i="12"/>
  <c r="F67" i="2"/>
  <c r="F69" i="2"/>
  <c r="F71" i="2"/>
  <c r="F65" i="2"/>
  <c r="C65" i="32"/>
  <c r="C64" i="32"/>
  <c r="C67" i="32"/>
  <c r="C66" i="32"/>
  <c r="C66" i="16"/>
  <c r="C65" i="16"/>
  <c r="C64" i="16"/>
  <c r="C67" i="16"/>
  <c r="C67" i="6"/>
  <c r="C66" i="6"/>
  <c r="C65" i="6"/>
  <c r="C64" i="6"/>
  <c r="C66" i="4"/>
  <c r="C67" i="4"/>
  <c r="C64" i="4"/>
  <c r="C65" i="4"/>
  <c r="C67" i="19"/>
  <c r="C66" i="19"/>
  <c r="C65" i="19"/>
  <c r="C64" i="19"/>
  <c r="C69" i="19" s="1"/>
  <c r="C71" i="19" s="1"/>
  <c r="C72" i="19" s="1"/>
  <c r="C67" i="36"/>
  <c r="C66" i="36"/>
  <c r="C65" i="36"/>
  <c r="C64" i="36"/>
  <c r="C71" i="2"/>
  <c r="C65" i="2"/>
  <c r="C69" i="2"/>
  <c r="C67" i="2"/>
  <c r="C67" i="18"/>
  <c r="C66" i="18"/>
  <c r="C64" i="18"/>
  <c r="C65" i="18"/>
  <c r="D74" i="2"/>
  <c r="D77" i="2" s="1"/>
  <c r="D79" i="2" s="1"/>
  <c r="E5" i="13" l="1"/>
  <c r="F22" i="1"/>
  <c r="E5" i="35"/>
  <c r="F69" i="1"/>
  <c r="G69" i="1" s="1"/>
  <c r="H69" i="1" s="1"/>
  <c r="C69" i="36"/>
  <c r="C71" i="36" s="1"/>
  <c r="C72" i="36" s="1"/>
  <c r="C69" i="6"/>
  <c r="C71" i="6" s="1"/>
  <c r="C72" i="6" s="1"/>
  <c r="F74" i="2"/>
  <c r="F77" i="2" s="1"/>
  <c r="F79" i="2" s="1"/>
  <c r="C69" i="11"/>
  <c r="C71" i="11" s="1"/>
  <c r="C72" i="11" s="1"/>
  <c r="E5" i="21"/>
  <c r="F38" i="1"/>
  <c r="C69" i="33"/>
  <c r="C71" i="33" s="1"/>
  <c r="C72" i="33" s="1"/>
  <c r="E5" i="23"/>
  <c r="F42" i="1"/>
  <c r="C67" i="34"/>
  <c r="C66" i="34"/>
  <c r="C65" i="34"/>
  <c r="C64" i="34"/>
  <c r="E5" i="25"/>
  <c r="F46" i="1"/>
  <c r="C67" i="17"/>
  <c r="C64" i="17"/>
  <c r="C66" i="17"/>
  <c r="C65" i="17"/>
  <c r="C69" i="18"/>
  <c r="C71" i="18" s="1"/>
  <c r="C72" i="18" s="1"/>
  <c r="C69" i="16"/>
  <c r="C71" i="16" s="1"/>
  <c r="C72" i="16" s="1"/>
  <c r="C69" i="12"/>
  <c r="C71" i="12" s="1"/>
  <c r="C72" i="12" s="1"/>
  <c r="C69" i="9"/>
  <c r="C71" i="9" s="1"/>
  <c r="C72" i="9" s="1"/>
  <c r="F26" i="1"/>
  <c r="E5" i="15"/>
  <c r="E5" i="7"/>
  <c r="F10" i="1"/>
  <c r="C69" i="5"/>
  <c r="C71" i="5" s="1"/>
  <c r="C72" i="5" s="1"/>
  <c r="C69" i="28"/>
  <c r="C71" i="28" s="1"/>
  <c r="C72" i="28" s="1"/>
  <c r="E5" i="24"/>
  <c r="F44" i="1"/>
  <c r="C69" i="27"/>
  <c r="C71" i="27" s="1"/>
  <c r="C72" i="27" s="1"/>
  <c r="C65" i="10"/>
  <c r="C67" i="10"/>
  <c r="C66" i="10"/>
  <c r="C64" i="10"/>
  <c r="E5" i="19"/>
  <c r="F34" i="1"/>
  <c r="F2" i="1"/>
  <c r="E5" i="3"/>
  <c r="E5" i="37"/>
  <c r="F67" i="1"/>
  <c r="G67" i="1" s="1"/>
  <c r="H67" i="1" s="1"/>
  <c r="E5" i="14"/>
  <c r="F24" i="1"/>
  <c r="E5" i="31"/>
  <c r="F58" i="1"/>
  <c r="C69" i="4"/>
  <c r="C71" i="4" s="1"/>
  <c r="C72" i="4" s="1"/>
  <c r="C69" i="32"/>
  <c r="C71" i="32" s="1"/>
  <c r="C72" i="32" s="1"/>
  <c r="C69" i="29"/>
  <c r="C71" i="29" s="1"/>
  <c r="C72" i="29" s="1"/>
  <c r="C65" i="8"/>
  <c r="C64" i="8"/>
  <c r="C67" i="8"/>
  <c r="C66" i="8"/>
  <c r="C69" i="22"/>
  <c r="C71" i="22" s="1"/>
  <c r="C72" i="22" s="1"/>
  <c r="E5" i="30"/>
  <c r="F56" i="1"/>
  <c r="C74" i="2"/>
  <c r="C77" i="2" s="1"/>
  <c r="C79" i="2" s="1"/>
  <c r="C69" i="20"/>
  <c r="C71" i="20" s="1"/>
  <c r="C72" i="20" s="1"/>
  <c r="C69" i="38"/>
  <c r="C71" i="38" s="1"/>
  <c r="C72" i="38" s="1"/>
  <c r="C69" i="26"/>
  <c r="C71" i="26" s="1"/>
  <c r="C72" i="26" s="1"/>
  <c r="F57" i="1" l="1"/>
  <c r="G57" i="1" s="1"/>
  <c r="G56" i="1"/>
  <c r="H56" i="1" s="1"/>
  <c r="F25" i="1"/>
  <c r="G25" i="1" s="1"/>
  <c r="G24" i="1"/>
  <c r="E5" i="27"/>
  <c r="F50" i="1"/>
  <c r="E5" i="18"/>
  <c r="F32" i="1"/>
  <c r="G38" i="1"/>
  <c r="F39" i="1"/>
  <c r="G39" i="1" s="1"/>
  <c r="F52" i="1"/>
  <c r="E5" i="28"/>
  <c r="C69" i="17"/>
  <c r="C71" i="17" s="1"/>
  <c r="C72" i="17" s="1"/>
  <c r="E5" i="5"/>
  <c r="F6" i="1"/>
  <c r="E5" i="11"/>
  <c r="F18" i="1"/>
  <c r="E5" i="33"/>
  <c r="F62" i="1"/>
  <c r="C69" i="8"/>
  <c r="C71" i="8" s="1"/>
  <c r="C72" i="8" s="1"/>
  <c r="G2" i="1"/>
  <c r="F3" i="1"/>
  <c r="G3" i="1" s="1"/>
  <c r="F11" i="1"/>
  <c r="G11" i="1" s="1"/>
  <c r="G10" i="1"/>
  <c r="H10" i="1" s="1"/>
  <c r="F47" i="1"/>
  <c r="G47" i="1" s="1"/>
  <c r="G46" i="1"/>
  <c r="H46" i="1" s="1"/>
  <c r="E5" i="6"/>
  <c r="F8" i="1"/>
  <c r="E5" i="29"/>
  <c r="F54" i="1"/>
  <c r="C69" i="34"/>
  <c r="C71" i="34" s="1"/>
  <c r="C72" i="34" s="1"/>
  <c r="E5" i="36"/>
  <c r="F68" i="1"/>
  <c r="G68" i="1" s="1"/>
  <c r="H68" i="1" s="1"/>
  <c r="E5" i="22"/>
  <c r="F40" i="1"/>
  <c r="F35" i="1"/>
  <c r="G35" i="1" s="1"/>
  <c r="G34" i="1"/>
  <c r="E5" i="26"/>
  <c r="F48" i="1"/>
  <c r="E5" i="32"/>
  <c r="F60" i="1"/>
  <c r="C69" i="10"/>
  <c r="C71" i="10" s="1"/>
  <c r="C72" i="10" s="1"/>
  <c r="G26" i="1"/>
  <c r="F27" i="1"/>
  <c r="G27" i="1" s="1"/>
  <c r="F45" i="1"/>
  <c r="G45" i="1" s="1"/>
  <c r="G44" i="1"/>
  <c r="H44" i="1" s="1"/>
  <c r="F4" i="1"/>
  <c r="E5" i="4"/>
  <c r="E5" i="20"/>
  <c r="F36" i="1"/>
  <c r="F59" i="1"/>
  <c r="G59" i="1" s="1"/>
  <c r="G58" i="1"/>
  <c r="E5" i="12"/>
  <c r="F20" i="1"/>
  <c r="F23" i="1"/>
  <c r="G23" i="1" s="1"/>
  <c r="G22" i="1"/>
  <c r="H22" i="1" s="1"/>
  <c r="E5" i="38"/>
  <c r="F66" i="1"/>
  <c r="G66" i="1" s="1"/>
  <c r="H66" i="1" s="1"/>
  <c r="E5" i="9"/>
  <c r="F14" i="1"/>
  <c r="E5" i="16"/>
  <c r="F28" i="1"/>
  <c r="F43" i="1"/>
  <c r="G43" i="1" s="1"/>
  <c r="G42" i="1"/>
  <c r="H2" i="1" l="1"/>
  <c r="H38" i="1"/>
  <c r="H42" i="1"/>
  <c r="H58" i="1"/>
  <c r="H24" i="1"/>
  <c r="F5" i="1"/>
  <c r="G5" i="1" s="1"/>
  <c r="G4" i="1"/>
  <c r="H4" i="1" s="1"/>
  <c r="E5" i="8"/>
  <c r="F12" i="1"/>
  <c r="F33" i="1"/>
  <c r="G33" i="1" s="1"/>
  <c r="G32" i="1"/>
  <c r="H32" i="1" s="1"/>
  <c r="F53" i="1"/>
  <c r="G53" i="1" s="1"/>
  <c r="G52" i="1"/>
  <c r="G50" i="1"/>
  <c r="F51" i="1"/>
  <c r="G51" i="1" s="1"/>
  <c r="G40" i="1"/>
  <c r="F41" i="1"/>
  <c r="G41" i="1" s="1"/>
  <c r="H26" i="1"/>
  <c r="F21" i="1"/>
  <c r="G21" i="1" s="1"/>
  <c r="G20" i="1"/>
  <c r="H20" i="1" s="1"/>
  <c r="F19" i="1"/>
  <c r="G19" i="1" s="1"/>
  <c r="G18" i="1"/>
  <c r="H18" i="1" s="1"/>
  <c r="E5" i="34"/>
  <c r="F64" i="1"/>
  <c r="F55" i="1"/>
  <c r="G55" i="1" s="1"/>
  <c r="G54" i="1"/>
  <c r="H54" i="1" s="1"/>
  <c r="G60" i="1"/>
  <c r="F61" i="1"/>
  <c r="G61" i="1" s="1"/>
  <c r="F9" i="1"/>
  <c r="G9" i="1" s="1"/>
  <c r="G8" i="1"/>
  <c r="H8" i="1" s="1"/>
  <c r="F16" i="1"/>
  <c r="E5" i="10"/>
  <c r="F49" i="1"/>
  <c r="G49" i="1" s="1"/>
  <c r="G48" i="1"/>
  <c r="H48" i="1" s="1"/>
  <c r="F7" i="1"/>
  <c r="G7" i="1" s="1"/>
  <c r="G6" i="1"/>
  <c r="H6" i="1" s="1"/>
  <c r="F63" i="1"/>
  <c r="G63" i="1" s="1"/>
  <c r="G62" i="1"/>
  <c r="H62" i="1" s="1"/>
  <c r="G36" i="1"/>
  <c r="F37" i="1"/>
  <c r="G37" i="1" s="1"/>
  <c r="F15" i="1"/>
  <c r="G15" i="1" s="1"/>
  <c r="G14" i="1"/>
  <c r="H14" i="1" s="1"/>
  <c r="G28" i="1"/>
  <c r="F29" i="1"/>
  <c r="G29" i="1" s="1"/>
  <c r="H34" i="1"/>
  <c r="E5" i="17"/>
  <c r="F30" i="1"/>
  <c r="H40" i="1" l="1"/>
  <c r="H52" i="1"/>
  <c r="H60" i="1"/>
  <c r="H36" i="1"/>
  <c r="G12" i="1"/>
  <c r="F13" i="1"/>
  <c r="G13" i="1" s="1"/>
  <c r="F31" i="1"/>
  <c r="G31" i="1" s="1"/>
  <c r="G30" i="1"/>
  <c r="H30" i="1" s="1"/>
  <c r="G64" i="1"/>
  <c r="F65" i="1"/>
  <c r="G65" i="1" s="1"/>
  <c r="H28" i="1"/>
  <c r="H50" i="1"/>
  <c r="G16" i="1"/>
  <c r="F17" i="1"/>
  <c r="G17" i="1" s="1"/>
  <c r="H64" i="1" l="1"/>
  <c r="H16" i="1"/>
  <c r="H12" i="1"/>
  <c r="G70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C6D812-E199-40F4-B4AD-66C91A1D2E42}" keepAlive="1" name="Consulta - Tabela1" description="Conexão com a consulta 'Tabela1' na pasta de trabalho." type="5" refreshedVersion="0" background="1">
    <dbPr connection="Provider=Microsoft.Mashup.OleDb.1;Data Source=$Workbook$;Location=Tabela1;Extended Properties=&quot;&quot;" command="SELECT * FROM [Tabela1]"/>
  </connection>
</connections>
</file>

<file path=xl/sharedStrings.xml><?xml version="1.0" encoding="utf-8"?>
<sst xmlns="http://schemas.openxmlformats.org/spreadsheetml/2006/main" count="2354" uniqueCount="185">
  <si>
    <t>LOTE</t>
  </si>
  <si>
    <t>Nº</t>
  </si>
  <si>
    <t>DESCRIÇÃO DO ITEM</t>
  </si>
  <si>
    <t>QTD</t>
  </si>
  <si>
    <t>Rota por demanda extraordinária para itinerário: SÍTIO MANUÍNO E JUCURUTU</t>
  </si>
  <si>
    <t>ITINERÁRIO: SÍTIO BAIXIO, ESTREITO E AROEIRA; - Menor veículo admitido: Minivan; - Quantidade de viagens diárias: 2 viagens completas por dia (36 km cada, ida e volta); - Total de quilômetros rodados no dia: 72 km/dia; - Turno(s): Matutino/Vespertino; - Estrada: não pavimentada</t>
  </si>
  <si>
    <t>Rota por demanda extraordinária para itinerário: SÍTIO BAIXIO, ESTREITO E AREOIRA</t>
  </si>
  <si>
    <t>ITINERÁRIO: AGROVILA RAIMUNDO NONATO, RIACHO DE SANTANA, ACAMPAMENTO E NOVA BARRA; - Menor veículo admitido: Van com capacidade para 15 passageiros; - Quantidade de viagens diárias: 2 viagens completas por dia (30 km cada, ida e volta); - Total de quilômetros rodados no dia: 60 km/dia; - Turno(s): Matutino/Vespertino; - Estrada: não pavimentada</t>
  </si>
  <si>
    <t>Rota por demanda extraordinária para itinerário: AGROVILA RAIMUNDO NONATO, RIACHO DE SANTANA, ACAMPAMENTO E NOVA BARRA</t>
  </si>
  <si>
    <t>ITINERÁRIO: ; SÍTIO SANTA CLARA E NOVA BARRA; - Menor veículo admitido: Minivan; - Quantidade de viagens diárias: 2 viagens completas por dia (50 km cada, ida e volta); - Total de quilômetros rodados no dia: 100 km/dia; - Turno(s): Matutino/Vespertino; - Estrada: não pavimentada</t>
  </si>
  <si>
    <t>Rota por demanda extraordinária para itinerário: SÍTIO SANTA CLARA E NOVA BARRA</t>
  </si>
  <si>
    <t>ITINERÁRIO: ; NOVA BARRA E AROEIRA; - Menor veículo admitido: Minivan; - Quantidade de viagens diárias: 2 viagens completas por dia (10 km cada, ida e volta); - Total de quilômetros rodados no dia: 20 km/dia; - Turno(s): SEM TURNO DEFINIDO; - Estrada: pavimentada</t>
  </si>
  <si>
    <t>Rota por demanda extraordinária para itinerário: NOVA BARRA E AROIERA</t>
  </si>
  <si>
    <t>ITINERÁRIO: SÍTIO BARRA DE; OITICICA, FIDALGO, PEDRA; FERRADA, BRAZ FELIX, SACO DO; ANIL, LAGOA, LOCA, ANGICOS E; FECHADO; - Menor veículo admitido: Van de grande porte com capacidade para 19 passageiros; - Quantidade de viagens diárias: 1 viagem completa por dia (60 km, ida e volta); - Total de quilômetros rodados no dia: 60 km/dia; - Turno(s): Matutino; - Estrada: não pavimentada</t>
  </si>
  <si>
    <t>Rota por demanda extraordinária para itinerário: SÍTIO BARRA DE; OITICICA, FIDALGO, PEDRA; FERRADA, BRAZ FELIX, SACO DO; ANIL, LAGOA, LOCA, ANGICOS E; FECHADO</t>
  </si>
  <si>
    <t>ITINERÁRIO: SÍTIO PEDRA FERRADA, SACO DO ANIL E LAGOA; - Menor veículo admitido: Minivan; - Quantidade de viagens diárias: 2 viagens completas por dia (30 km cada, ida e volta;  - Total de quilômetros rodados no dia: 60 km/dia; - Turno(s): Matutino/Vespertino; - Estrada: não pavimentada</t>
  </si>
  <si>
    <t>Rota por demanda extraordinária para itinerário: SÍTIO PEDRA FERRADA, SACO DO ANIL E LAGOA</t>
  </si>
  <si>
    <t xml:space="preserve">ITINERÁRIO: PEDALAGEM, SÍTIO LOCA, SÍTIO TREME, SACO DO TREME, SÃO BENTO E SÃO BRAZ;  - Menor veículo admitido: Van de pequeno porte com capacidade para 10 passageiros;  - Quantidade de viagens diárias: 1 viagem completa por dia (28 km, ida e volta);  - Total de quilômetros rodados no dia: 56 km/dia;  - Turno(s): Matutino;  - Estrada: não pavimentada </t>
  </si>
  <si>
    <t>Rota por demanda extraordinária para itinerário: PEDALAGEM, SÍTIO ; LOCA, SÍTIO TREME, SACO DO ; TREME, SÃO BENTO E SÃO BRAZ</t>
  </si>
  <si>
    <t>ITINERÁRIO: SERRA DE JOÃO DO VALE E CHÃ DOS FELIX;  - Menor veículo admitido: Van de grande porte com capacidade para 19 passageiros;  - Quantidade de viagens diárias: 1 viagem completa por dia (21 km, ida e volta);  - Total de quilômetros rodados no dia: 42 km/dia;  - Turno(s): Matutino;  - Estrada: não pavimentada</t>
  </si>
  <si>
    <t>Rota por demanda extraordinária para itinerário: SERRA DE JOÃO DO VALE E CHÃ DOS FELIX</t>
  </si>
  <si>
    <t>Rota por demanda extraordinária para itinerário: SERRA DE JOÃO DO VALE, SACO DOS CAVALOS E JUCURUTU</t>
  </si>
  <si>
    <t>ITINERÁRIO: PANGOÁ E CHÃ DOS FELIX; - Menor veículo admitido: Minivan;  - Quantidade de viagens diárias: 1 viagemm completa por dia (21 km cada, ida e volta);  - Total de quilômetros rodados no dia: 42 km/dia; - Turno(s): SEM TURNO DEFINIDO;  - Estrada: não pavimentada</t>
  </si>
  <si>
    <t>Rota por demanda extraordinária para itinerário: PANGOÁ E CHÃ DOS FELIX</t>
  </si>
  <si>
    <t>Rota por demanda extraordinária para itinerário: SACO SÃO VICENTE, SÍTIO BOA VISTA, BARRO BRANCO, PEDRA DO NAVIO E JUCURUTU</t>
  </si>
  <si>
    <t xml:space="preserve">ITINERÁRIO: SÍTIO SAQUINHO DO PADRE, SOLEDADE, TUIUIÚ, CEDRO, PEDRA DO MOLEQUE 
E PEDRA BRANCA;  - Menor veículo admitido: Van de pequeno porte com capacidade para 10 passageiros;  - Quantidade de viagens diárias: 2 viagens completas por dia (60 km cada, ida e volta);  - Total de quilômetros rodados no dia: 120 km/dia;  - Turno(s): Matutino/Vespertino;  - Estrada: não pavimentada </t>
  </si>
  <si>
    <t>Rota por demanda extraordinária para itinerário: SÍTIO SAQUINHO DO PADRE, SOLEDADE, TUIUIÚ, CEDRO, PEDRA DO MOLEQUE E PEDRA BRANCA</t>
  </si>
  <si>
    <t xml:space="preserve">ITINERÁRIO: SÍTIO SACO GRANDE E ESPINHEIRO;  - Menor veículo admitido: Van de pequeno porte com capacidade para 10 passageiros;  - Quantidade de viagens diárias: 1 viagem completa por dia (20 km, ida e volta);  - Total de quilômetros rodados no dia: 40 km/dia;  - Turno(s): Matutino  - Estrada: não pavimentada </t>
  </si>
  <si>
    <t>Rota por demanda extraordinária para itinerário: SÍTIO SACO GRANDE E ESPINHEIRO</t>
  </si>
  <si>
    <t>Rota por demanda extraordinária para itinerário: SÍTO ESPINHEIRO, SOLEDADE, PEDRA BRANCA E JUCURUTU</t>
  </si>
  <si>
    <t>ITINERÁRIO: SÍTIO SOÁ, LOGRADOURO, RIACHÃO DE BAIXO E RIACHÃO DE CIMA; - Menor veículo admitido: Minivan; - Quantidade de viagens diárias: 2 viagens completas por dia (36 km cada, ida e volta); - Total de quilômetros rodados no dia: 72 km/dia; - Turno(s): Matutino/Vespertino; - Estrada: não pavimentada</t>
  </si>
  <si>
    <t>Rota por demanda extraordinária para itinerário: SÍTO SOÁ, LOGRADOURO, RIACHÃO DE BAIXO E RIACHÃO DE CIMA</t>
  </si>
  <si>
    <t xml:space="preserve">ITINERÁRIO: LAGOA SECA E MUTAMBA;  - Menor veículo admitido: Minivan;  - Quantidade de viagens diárias: 1 viagem completa por dia (20 km, ida e volta);  - Total de quilômetros rodados no dia: 40 km/dia;  - Turno(s): Matutino;  - Estrada: não pavimentada </t>
  </si>
  <si>
    <t>Rota por demanda extraordinária para itinerário: LAGOA SECA E MUTAMBA</t>
  </si>
  <si>
    <t xml:space="preserve">ITINERÁRIO: LAGOA SECA, JOAQUIM LUIZ, CAJÁ, SANHARÃO, CACHOEIRA E RETIRO;  - Menor veículo admitido: Minivan;  - Quantidade de viagens diárias: 2 viagens completas por dia (40 km, ida e volta);  - Total de quilômetros rodados no dia: 80 km/dia;  - Turno(s): Matutino;  - Estrada: não pavimentada </t>
  </si>
  <si>
    <t>Rota por demanda extraordinária para itinerário: LAGOA SECA JOAQUIM LUIZ, CAJÁ, SANHARÃO, CACHOEIRA E RETIRO</t>
  </si>
  <si>
    <t>Rota por demanda extraordinária para itinerário: SÍTIO CAJÁ, SANHARÃO, PINTURA, MUTAMBA, LAGOA SECA E JUCURUTU</t>
  </si>
  <si>
    <t>LOTE 20</t>
  </si>
  <si>
    <t>Rota por demanda extraordinária para itinerário: SÍTIO LIVRAMENTO, MALHADA VERMELHA, FAZENDA BELA VISTA (OTTO) E FREITAS, JUCURUTU</t>
  </si>
  <si>
    <t>LOTE 21</t>
  </si>
  <si>
    <t>ITINERÁRIO: SÍTIO CAMILOS, SANTA RITA;  - Menor veículo admitido: Minivan;  - Quantidade de viagens diárias: 2 viagens completas por dia (10 km cada, ida e volta);  - Total de quilômetros rodados no dia: 20 km/dia;  - Turno(s): SEM TURNO DEFINIDO;  - Estrada: não pavimentada</t>
  </si>
  <si>
    <t>Rota por demanda extraordinária para itinerário: SÍTIO CAMILOS, SANTA RITA</t>
  </si>
  <si>
    <t xml:space="preserve">ITINERÁRIO: SÍTIO CACHOEIRA, SANTA RITA;  - Menor veículo admitido: Van de pequeno porte com capacidade para 10 passageiros;  - Quantidade de viagens diárias: 2 viagens completas por dia (20 km cada, ida e volta);  - Total de quilômetros rodados no dia: 40 km/dia;  - Turno(s): SEM TURNO DEFINIDO;  - Estrada: não pavimentada </t>
  </si>
  <si>
    <t>Rota por demanda extraordinária para itinerário: SÍTIO CACHOREIRA, SANTA RITA</t>
  </si>
  <si>
    <t>LOTE 23</t>
  </si>
  <si>
    <t xml:space="preserve">ITINERÁRIO: SÍTIO POÇAS, SANTA RITA;  - Menor veículo admitido: Minivan;  - Quantidade de viagens diárias: 1 viagem completa por dia (8 km, ida e volta); - Total de quilômetros rodados no dia: 16 km/dia;  - Turno(s): SEM TURNO DEFINIDO; - Estrada: não pavimentada </t>
  </si>
  <si>
    <t>Rota por demanda extraordinária para itinerário: SÍTIO POÇAS, SANTA RITA</t>
  </si>
  <si>
    <t>LOTE 24</t>
  </si>
  <si>
    <t>Rota por demanda extraordinária para itinerário: SÍTIO JANGADA, SANTO ANTÔNIO, ENTRE SANTOS E SANTA RITA</t>
  </si>
  <si>
    <t>LOTE 25</t>
  </si>
  <si>
    <t>Rota por demanda extraordinária para itinerário: SÍTIO PAU FERRADO, POÇO DE OITICICA E BOI SELADO</t>
  </si>
  <si>
    <t>LOTE 26</t>
  </si>
  <si>
    <t>Rota por demanda extraordinária para itinerário: ADEQUÊ, CAPELINHA, POÇAS E BOI SELADO</t>
  </si>
  <si>
    <t>LOTE 27</t>
  </si>
  <si>
    <t xml:space="preserve">TINERÁRIO: BOI SELADO, IFRN JUCURUTU;  - Menor veículo admitido: Van com capacidade para 19 passageiros;  - Quantidade de viagens diárias: 3 viagens completas por dia (40 km cada, ida e volta); 
 - Total de quilômetros rodados no dia: 120 km/dia;  - Turno(s): Matutino/Vespertino/Noturno;  - Estrada: pavimentada </t>
  </si>
  <si>
    <t>Rota por demanda extraordinária para itinerário: BOI SELADO, IFRN JUCURUTU</t>
  </si>
  <si>
    <t>LOTE 28</t>
  </si>
  <si>
    <t xml:space="preserve">ITINERÁRIO: ADEQUÊ A ESCOLA DINARTE MARIZ;  - Menor veículo admitido: Van de pequeno porte com capacidade para 10 passageiros; - Quantidade de viagens diárias: 1 viagem completa por dia (6 km, ida e volta); - Total de quilômetros rodados no dia: 12 km/dia;  - Turno(s): SEM TURNO DEFINIDO;  - Estrada: não pavimentada </t>
  </si>
  <si>
    <t>Rota por demanda extraordinária para itinerário: ADEQUÊ A ESCOLA DINARTE MARIZ</t>
  </si>
  <si>
    <t>LOTE 29</t>
  </si>
  <si>
    <t xml:space="preserve">ITINERÁRIO: JUCURUTU E CAICÓ;  - Menor veículo admitido: ônibus de grande porte com capacidade para 48 passageiros; - Quantidade de viagens diárias: 1 viagem completa por dia (58 km cada, ida e volta)  - Total de quilômetros rodados no dia: 116 km/dia;  - Turno(s): Matutino;  - Estrada: pavimentada </t>
  </si>
  <si>
    <t>Rota por demanda extraordinária para itinerário: JUCURUTU E CAICÓ</t>
  </si>
  <si>
    <t>LOTE 30</t>
  </si>
  <si>
    <t>ITINERÁRIO: JUCURUTU E CAICÓ; - Menor veículo admitido: ônibus de grande porte com capacidade para 48 passageiros; - Quantidade de viagens diárias: 1 viagem completa por dia (58 km cada, ida e volta) - Total de quilômetros rodados no dia: 116 km/dia; - Turno(s): Vespertino; - Estrada: pavimentada</t>
  </si>
  <si>
    <t>LOTE 31</t>
  </si>
  <si>
    <t>LOTE 32</t>
  </si>
  <si>
    <t xml:space="preserve">ITINERÁRIO: NOVA BARRA, IFRN JUCURUTU;  - Menor veículo admitido: Van de pequeno porte com capacidade para 10 passageiros;  - Quantidade de viagens diárias: 2 viagens completas por dia (30 km cada, ida e volta)  - Total de quilômetros rodados no dia: 60 km/dia;  - Turno(s): Matutino/Vespertino;  - Estrada: pavimentada </t>
  </si>
  <si>
    <t>Rota por demanda extraordinária para itinerário: NOVA BARRA, IFRN JUCURUTU</t>
  </si>
  <si>
    <t>LOTE 33</t>
  </si>
  <si>
    <t>Informações do itinerário: ROTA EXTRA POR DEMANDA;  - Menor veículo admitido: ônibus de grande porte com capacidade para 48 passageiros;  - Quantidade de viagens diárias: CONFORME DEMANDA;  - Total de quilômetros rodados no dia:  CONFORME DEMANDA;  - Turno(s): NÃO ESPECIFICADO;  - Estrada: NÃO DEFINIDO</t>
  </si>
  <si>
    <t>Informações do itinerário: ROTA EXTRA POR DEMANDA; - Menor veículo admitido: ônibus com capacidade para 44 passageiros; - Quantidade de viagens diárias: CONFORME DEMANDA;  - Total de quilômetros rodados no dia:  CONFORME DEMANDA;  - Turno(s): NÃO ESPECIFICADO;  - Estrada: NÃO DEFINIDO</t>
  </si>
  <si>
    <t>Serviço de Transporte Escolar: ROTA EXTRA POR DEMANDA; - Menor veículo admitido: Van com 
capacidade para 15 passageiros; - Quantidade de viagens diárias: CONFORME DEMANDA; - Total de 
quilômetros rodados no dia:  CONFORME DEMANDA; - Turno(s): NÃO ESPECIFICADO; - Estrada: NÃO 
DEFINIDO</t>
  </si>
  <si>
    <t>Serviço de Transporte Escolar: ROTA EXTRA POR DEMANDA; - Menor veículo admitido: Minivan; - 
Quantidade de viagens diárias: CONFORME DEMANDA; - Total de quilômetros rodados no dia:  
CONFORME DEMANDA; - Turno(s): NÃO ESPECIFICADO; - Estrada: NÃO DEFINIDO</t>
  </si>
  <si>
    <t>Total Estimado:</t>
  </si>
  <si>
    <t>BASE DE DADOS PARA PLANILHA DE COMPROVAÇÃO DE CUSTOS</t>
  </si>
  <si>
    <t>MESES DO ANO</t>
  </si>
  <si>
    <t>DIAS LETIVOS</t>
  </si>
  <si>
    <t>VALOR GASOLINA</t>
  </si>
  <si>
    <t>VALOR DIESEL S10</t>
  </si>
  <si>
    <t>DESCRIÇÃO DO VEÍCULO</t>
  </si>
  <si>
    <t>PAVIMENTO</t>
  </si>
  <si>
    <t>NÃO</t>
  </si>
  <si>
    <t>KM DIÁRIOS</t>
  </si>
  <si>
    <t>TIPO DO VEÍCULO:</t>
  </si>
  <si>
    <t>MINIVAN</t>
  </si>
  <si>
    <t>VAN</t>
  </si>
  <si>
    <t>MICROONIBUS</t>
  </si>
  <si>
    <t>ONIBUS</t>
  </si>
  <si>
    <t xml:space="preserve">MÉDIA DIAS LETIVOS MÊS </t>
  </si>
  <si>
    <t>MÓDULO 1 - CUSTOS VARIÁVEIS</t>
  </si>
  <si>
    <t>COMBUSTIVEL</t>
  </si>
  <si>
    <t>MÉDIA CONSUMIDA POR KM/ LITRO</t>
  </si>
  <si>
    <t>PARECER</t>
  </si>
  <si>
    <t>CUSTO COMBUSTÍVEL POR KM</t>
  </si>
  <si>
    <t>LUBRIFICANTES</t>
  </si>
  <si>
    <t>CUSTO LUBRIFICANTE POR KM</t>
  </si>
  <si>
    <t>RODAGEM</t>
  </si>
  <si>
    <t xml:space="preserve">PREÇO DO PNEU </t>
  </si>
  <si>
    <t>QUANT PNEUS RODANDO</t>
  </si>
  <si>
    <t>TOTAL NA TROCA</t>
  </si>
  <si>
    <t>VIDA UTIL DO PNEU POR KM</t>
  </si>
  <si>
    <t>CUSTO DOS PNEUS DE RODAGEM POR KM</t>
  </si>
  <si>
    <t>MANUTENÇÃO: PEÇAS E ACESSÓRIOS</t>
  </si>
  <si>
    <t>COEFICIENTE DE MANUTENÇÃO</t>
  </si>
  <si>
    <t>CUSTO DE MANUTENÇÃO POR KM</t>
  </si>
  <si>
    <t>TOTAL DO MÓDULO 1</t>
  </si>
  <si>
    <t>MÓDULO 2 - CUSTOS FIXOS</t>
  </si>
  <si>
    <t>DEPRECIAÇÃO</t>
  </si>
  <si>
    <t>VALOR MÉDIO DE VENDA VEÍCULO</t>
  </si>
  <si>
    <t>DEPRECIAÇÃO ANUAL %</t>
  </si>
  <si>
    <t>Parecer</t>
  </si>
  <si>
    <t>VALOR DA DEPRECIAÇÃO</t>
  </si>
  <si>
    <t>MESES ANO</t>
  </si>
  <si>
    <t>VALOR A DEPRECIAR MÊS</t>
  </si>
  <si>
    <t xml:space="preserve">KM MEDIA PERCORRIDA NO MÊS </t>
  </si>
  <si>
    <t>CUSTO DA DEPRECIAÇÃO POR KM</t>
  </si>
  <si>
    <t>CUSTO COM FUNCIONÁRIO</t>
  </si>
  <si>
    <t>CCT</t>
  </si>
  <si>
    <t>MOTORISTA - 220 H</t>
  </si>
  <si>
    <t xml:space="preserve">VALOR DA HORA TRABALHADA </t>
  </si>
  <si>
    <t>VALOR DIA - 06 HORAS</t>
  </si>
  <si>
    <t>CUSTO FUNCIONÁRIO POR KM RODADO</t>
  </si>
  <si>
    <t>CUSTOS DO VEÍCULO</t>
  </si>
  <si>
    <t>VALOR DO VEÍCULO</t>
  </si>
  <si>
    <t>IPVA - 2% sobre o valor do veículo</t>
  </si>
  <si>
    <t>parecer</t>
  </si>
  <si>
    <t>Valor do CRLV-e</t>
  </si>
  <si>
    <t>Detran-RN</t>
  </si>
  <si>
    <t>seguro resp. civil e casco</t>
  </si>
  <si>
    <t>laudos DETRAN/IN METRO</t>
  </si>
  <si>
    <t>DPVAT</t>
  </si>
  <si>
    <t>CUSTO DO VEÍCULO POR KM</t>
  </si>
  <si>
    <t>TOTAL DO MÓDULO 2</t>
  </si>
  <si>
    <t>SOMA DOS MÓDULOS 1+2</t>
  </si>
  <si>
    <t>MÓDULO 3 - CUSTOS INDIRETOS, TRIBUTOS E LUCRO</t>
  </si>
  <si>
    <t>Despesas Indiretas</t>
  </si>
  <si>
    <t>LUCRO</t>
  </si>
  <si>
    <t>Tributos (COFINS - 3% e PIS - 0,65)</t>
  </si>
  <si>
    <t>ISS</t>
  </si>
  <si>
    <t>Tributos (Contribuição Previdenciária - 0% ou 4,5%, conforme Lei 12.844/2013 - Desoneração)</t>
  </si>
  <si>
    <t>TOTAL DO MÓDULO 3</t>
  </si>
  <si>
    <t>VALOR DO KM RODADO</t>
  </si>
  <si>
    <t>Lucro</t>
  </si>
  <si>
    <t>VALOR DO KM</t>
  </si>
  <si>
    <t>SIM</t>
  </si>
  <si>
    <t>V UNIT (R$)</t>
  </si>
  <si>
    <t>V TOTAL (R$)</t>
  </si>
  <si>
    <t>V TOTAL DO LOTE (R$)</t>
  </si>
  <si>
    <t>VALOR DO KM (NÃO PAVIMENTADO)</t>
  </si>
  <si>
    <t>VALOR DO KM (PAVIMENTADO)</t>
  </si>
  <si>
    <t>VALOR DO KM (PAVIMENTADO )</t>
  </si>
  <si>
    <t xml:space="preserve">ITINERÁRIO: SÍTIO JANGADA, SANTO ANTÔNIO, ENTRE SANTOS E SANTA RITA;  - Menor veículo admitido: Minivan; 
 - Quantidade de viagens diárias: 1 viagem completa por dia (9 km cada, ida e volta);  - Total de quilômetros rodados no dia: 18 km/dia;  - Turno(s): SEM TURNO DEFINIDO;  - Estrada: pavimentada </t>
  </si>
  <si>
    <t>VALOR DO KM (ESTRADA: NÃO DEFINIDO)</t>
  </si>
  <si>
    <t>AJUSTE POR NÃO ASFALTADA (35%)</t>
  </si>
  <si>
    <t>LOTE 01:</t>
  </si>
  <si>
    <t xml:space="preserve">LOTE 02: </t>
  </si>
  <si>
    <t xml:space="preserve">LOTE 03: </t>
  </si>
  <si>
    <t xml:space="preserve">LOTE 04: </t>
  </si>
  <si>
    <t xml:space="preserve">LOTE 05: </t>
  </si>
  <si>
    <t xml:space="preserve">LOTE 06: </t>
  </si>
  <si>
    <t xml:space="preserve">LOTE 07: </t>
  </si>
  <si>
    <t xml:space="preserve">LOTE 08: </t>
  </si>
  <si>
    <t xml:space="preserve">LOTE 09: </t>
  </si>
  <si>
    <t xml:space="preserve">LOTE 10: </t>
  </si>
  <si>
    <t xml:space="preserve">LOTE 11: </t>
  </si>
  <si>
    <t xml:space="preserve">LOTE 12: </t>
  </si>
  <si>
    <t xml:space="preserve">LOTE 13: </t>
  </si>
  <si>
    <t xml:space="preserve">LOTE 14: </t>
  </si>
  <si>
    <t xml:space="preserve">LOTE 15: </t>
  </si>
  <si>
    <t xml:space="preserve">LOTE 16 </t>
  </si>
  <si>
    <t xml:space="preserve">LOTE 17: </t>
  </si>
  <si>
    <t xml:space="preserve">LOTE 18 </t>
  </si>
  <si>
    <t xml:space="preserve">LOTE 19 </t>
  </si>
  <si>
    <t>LOTE 34</t>
  </si>
  <si>
    <t>LOTE 35</t>
  </si>
  <si>
    <t>LOTE 36</t>
  </si>
  <si>
    <t xml:space="preserve">ITINERÁRIO: SÍTIO MANUÍNO E JUCURUTU;- Menor veículo admitido: Minivan; - Quantidade de viagens diárias: 2 viagens completas por dia (32 km cada, ida e volta);  - Total de quilômetros rodados no dia: 64 km/dia;  - Turno(s): Matutino/Vespertino;  - Estrada: não pavimentada </t>
  </si>
  <si>
    <t xml:space="preserve">ITINERÁRIO: SERRA DE JOÃO DO VALE, SACO DOS CAVALOS E JUCURUTU;  - Menor veículo admitido: Van com capacidade para 15 passageiros;  - Quantidade de viagens diárias: 2 viagens completas por dia (76 km cada, ida e volta); - Total de quilômetros rodados no dia: 152 km/dia;  - Turno(s): Matutino/Vespertino; - Estrada: não pavimentada </t>
  </si>
  <si>
    <t>ITINERÁRIO: SACO SÃO VICENTE, SÍTIO BOA VISTA, BARRO BRANCO, PEDRA DO NAVIO E JUCURUTU;  - Menor veículo admitido: Van com capacidade para 15 passageiros;  - Quantidade de viagens diárias: 2 viagens completas por dia (42 km cada, ida e volta);  - Total de quilômetros rodados no dia: 84 km/dia;  - Turno(s): Matutino/Vespertino;  - Estrada: não pavimentada</t>
  </si>
  <si>
    <t xml:space="preserve">ITINERÁRIO: SÍTIO ESPINHEIRO, SOLEDADE, PEDRA BRANCA E JUCURUTU; - Menor veículo admitido:Van com capacidade para 15 passageiros; - Quantidade de viagens diárias: 1 viagem completa por dia (29 km cada, ida e volta); - Total de quilômetros rodados no dia: 58 km/dia; - Turno(s): SEM TURNO DEFINIDO; - Estrada: não pavimentada </t>
  </si>
  <si>
    <t xml:space="preserve">ITINERÁRIO: SÍTIO CAJÁ, SANHARÃO, PINTURA, MUTAMBA, LAGOA SECA E JUCURUTU;  - Menor veículo admitido: Van com capacidade para 15 passageiros;  - Quantidade de viagens diárias: 1 viagem completa por dia (46 km, ida e volta);  - Total de quilômetros rodados no dia: 92 km/dia;  - Turno(s): SEM TURNO DEFINIDO - Estrada: não pavimentada </t>
  </si>
  <si>
    <t xml:space="preserve">ITINERÁRIO: SÍTIO LIVRAMENTO, MALHADA VERMELHA, FAZENDA BELA VISTA (OTTO) E FREITAS, JUCURUTU; - Menor veículo admitido: Minivan; - Quantidade de viagens diárias: 2 viagens completas por dia (30 km cada, ida e volta); - Total de quilômetros rodados no dia: 60 km/dia; - Turno(s): Matutino/Vespertino; - Estrada: não pavimentada </t>
  </si>
  <si>
    <t xml:space="preserve">ITINERÁRIO: SÍTIO PAU FERRADO, POÇO DE OITICICA E BOI SELADO;  - Menor veículo admitido: Minivan;  - Quantidade de viagens diárias: 2 viagens completas por dia (30 km cada, ida e volta); - Total de quilômetros rodados no dia: 60 km/dia;  - Turno(s): Matutino/Vespertino;  - Estrada: não pavimentada </t>
  </si>
  <si>
    <t xml:space="preserve">ITINERÁRIO: ADEQUÊ, CAPELINHA, POÇAS E BOI SELADO;  - Menor veículo admitido: Van de pequeno porte com capacidade para 10 passageiros;  - Quantidade de viagens diárias: 2 viagens completas por dia (32 km cada, ida e volta);  - Total de quilômetros rodados no dia: 64 km/dia;  - Turno(s): Matutino/Vespertino;  - Estrada: não pavimentada </t>
  </si>
  <si>
    <t xml:space="preserve">ITINERÁRIO: JUCURUTU E CAICÓ; - Menor veículo admitido: ônibus de grande porte com capacidade para 48 passageiros;  - Quantidade de viagens diárias:  1 viagem completa por dia (58 km cada, ida e volta)  - Total de quilômetros rodados no dia: 116 km/dia;  - Turno(s): Noturno;  - Estrada: pavimentada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</si>
</sst>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R$ &quot;* #,##0.00_-;&quot;-R$ &quot;* #,##0.00_-;_-&quot;R$ &quot;* \-??_-;_-@_-"/>
    <numFmt numFmtId="166" formatCode="_-* #,##0.00_-;\-* #,##0.00_-;_-* \-??_-;_-@_-"/>
    <numFmt numFmtId="167" formatCode="&quot;R$ &quot;#,##0.00"/>
    <numFmt numFmtId="168" formatCode="[$R$-416]\ #,##0.00;[Red]\-[$R$-416]\ #,##0.00"/>
  </numFmts>
  <fonts count="13" x14ac:knownFonts="1">
    <font>
      <sz val="11"/>
      <color theme="1"/>
      <name val="Calibri"/>
      <family val="2"/>
      <charset val="1"/>
    </font>
    <font>
      <sz val="9"/>
      <color theme="1"/>
      <name val="Arial"/>
      <family val="2"/>
      <charset val="1"/>
    </font>
    <font>
      <sz val="9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9"/>
      <name val="Arial"/>
      <family val="2"/>
      <charset val="1"/>
    </font>
    <font>
      <b/>
      <sz val="11"/>
      <color theme="1"/>
      <name val="Calibri"/>
      <family val="2"/>
      <charset val="1"/>
    </font>
    <font>
      <sz val="9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89013336588644"/>
        <bgColor rgb="FFD6DCE5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3" tint="0.79989013336588644"/>
        <bgColor rgb="FFDAE3F3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99336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8" fillId="0" borderId="0" applyBorder="0" applyProtection="0"/>
    <xf numFmtId="164" fontId="8" fillId="0" borderId="0" applyBorder="0" applyProtection="0"/>
    <xf numFmtId="9" fontId="8" fillId="0" borderId="0" applyBorder="0" applyProtection="0"/>
  </cellStyleXfs>
  <cellXfs count="104">
    <xf numFmtId="0" fontId="0" fillId="0" borderId="0" xfId="0"/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4" borderId="0" xfId="0" applyFont="1" applyFill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167" fontId="2" fillId="4" borderId="0" xfId="1" applyNumberFormat="1" applyFont="1" applyFill="1" applyBorder="1" applyAlignment="1" applyProtection="1">
      <alignment horizontal="right"/>
    </xf>
    <xf numFmtId="167" fontId="2" fillId="0" borderId="0" xfId="1" applyNumberFormat="1" applyFont="1" applyBorder="1" applyAlignment="1" applyProtection="1">
      <alignment horizontal="right"/>
    </xf>
    <xf numFmtId="166" fontId="2" fillId="0" borderId="0" xfId="1" applyFont="1" applyBorder="1" applyAlignment="1" applyProtection="1">
      <alignment horizontal="right"/>
    </xf>
    <xf numFmtId="0" fontId="3" fillId="0" borderId="0" xfId="0" applyFont="1" applyAlignment="1">
      <alignment horizontal="center" vertical="center" wrapText="1"/>
    </xf>
    <xf numFmtId="167" fontId="4" fillId="4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167" fontId="4" fillId="4" borderId="0" xfId="0" applyNumberFormat="1" applyFont="1" applyFill="1"/>
    <xf numFmtId="167" fontId="4" fillId="0" borderId="0" xfId="0" applyNumberFormat="1" applyFont="1"/>
    <xf numFmtId="0" fontId="2" fillId="2" borderId="0" xfId="0" applyFont="1" applyFill="1" applyAlignment="1">
      <alignment wrapText="1"/>
    </xf>
    <xf numFmtId="167" fontId="2" fillId="0" borderId="0" xfId="0" applyNumberFormat="1" applyFont="1"/>
    <xf numFmtId="167" fontId="2" fillId="4" borderId="0" xfId="0" applyNumberFormat="1" applyFont="1" applyFill="1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wrapText="1"/>
    </xf>
    <xf numFmtId="168" fontId="0" fillId="0" borderId="0" xfId="0" applyNumberFormat="1"/>
    <xf numFmtId="0" fontId="5" fillId="0" borderId="0" xfId="0" applyFont="1"/>
    <xf numFmtId="167" fontId="2" fillId="4" borderId="0" xfId="1" applyNumberFormat="1" applyFont="1" applyFill="1" applyBorder="1" applyProtection="1"/>
    <xf numFmtId="167" fontId="2" fillId="0" borderId="0" xfId="1" applyNumberFormat="1" applyFont="1" applyBorder="1" applyProtection="1"/>
    <xf numFmtId="167" fontId="4" fillId="4" borderId="0" xfId="1" applyNumberFormat="1" applyFont="1" applyFill="1" applyBorder="1" applyProtection="1"/>
    <xf numFmtId="167" fontId="4" fillId="0" borderId="0" xfId="1" applyNumberFormat="1" applyFont="1" applyBorder="1" applyProtection="1"/>
    <xf numFmtId="0" fontId="4" fillId="3" borderId="0" xfId="0" applyFont="1" applyFill="1" applyAlignment="1">
      <alignment horizontal="right"/>
    </xf>
    <xf numFmtId="167" fontId="4" fillId="4" borderId="0" xfId="1" applyNumberFormat="1" applyFont="1" applyFill="1" applyBorder="1" applyAlignment="1" applyProtection="1">
      <alignment horizontal="right"/>
    </xf>
    <xf numFmtId="166" fontId="2" fillId="0" borderId="0" xfId="1" applyFont="1" applyBorder="1" applyProtection="1"/>
    <xf numFmtId="10" fontId="6" fillId="6" borderId="0" xfId="3" applyNumberFormat="1" applyFont="1" applyFill="1" applyBorder="1" applyAlignment="1" applyProtection="1">
      <alignment horizontal="center" vertical="center"/>
    </xf>
    <xf numFmtId="2" fontId="6" fillId="4" borderId="0" xfId="3" applyNumberFormat="1" applyFont="1" applyFill="1" applyBorder="1" applyAlignment="1" applyProtection="1">
      <alignment horizontal="center" vertical="center"/>
    </xf>
    <xf numFmtId="2" fontId="6" fillId="0" borderId="0" xfId="3" applyNumberFormat="1" applyFont="1" applyBorder="1" applyAlignment="1" applyProtection="1">
      <alignment horizontal="center" vertical="center"/>
    </xf>
    <xf numFmtId="0" fontId="3" fillId="3" borderId="0" xfId="0" applyFont="1" applyFill="1" applyAlignment="1">
      <alignment vertical="center" wrapText="1"/>
    </xf>
    <xf numFmtId="2" fontId="3" fillId="4" borderId="0" xfId="0" applyNumberFormat="1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66" fontId="4" fillId="4" borderId="0" xfId="1" applyFont="1" applyFill="1" applyBorder="1" applyAlignment="1" applyProtection="1">
      <alignment horizontal="center" vertical="center"/>
    </xf>
    <xf numFmtId="164" fontId="2" fillId="0" borderId="0" xfId="2" applyFont="1" applyBorder="1" applyProtection="1"/>
    <xf numFmtId="166" fontId="2" fillId="0" borderId="0" xfId="0" applyNumberFormat="1" applyFont="1"/>
    <xf numFmtId="0" fontId="0" fillId="0" borderId="0" xfId="0" applyAlignment="1">
      <alignment vertical="center"/>
    </xf>
    <xf numFmtId="164" fontId="8" fillId="0" borderId="0" xfId="2" applyBorder="1" applyAlignment="1" applyProtection="1">
      <alignment vertical="center"/>
    </xf>
    <xf numFmtId="164" fontId="0" fillId="0" borderId="0" xfId="0" applyNumberFormat="1"/>
    <xf numFmtId="0" fontId="0" fillId="3" borderId="0" xfId="0" applyFill="1" applyAlignment="1">
      <alignment vertical="center"/>
    </xf>
    <xf numFmtId="0" fontId="0" fillId="6" borderId="0" xfId="0" applyFill="1" applyAlignment="1">
      <alignment horizontal="right" vertical="center"/>
    </xf>
    <xf numFmtId="0" fontId="7" fillId="6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4" fontId="8" fillId="3" borderId="0" xfId="2" applyFill="1" applyBorder="1" applyAlignment="1" applyProtection="1">
      <alignment vertical="center"/>
    </xf>
    <xf numFmtId="0" fontId="0" fillId="7" borderId="0" xfId="0" applyFill="1"/>
    <xf numFmtId="164" fontId="8" fillId="4" borderId="0" xfId="2" applyFill="1" applyBorder="1" applyAlignment="1" applyProtection="1">
      <alignment vertical="center"/>
    </xf>
    <xf numFmtId="164" fontId="0" fillId="3" borderId="0" xfId="0" applyNumberForma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3" fillId="5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0" fillId="0" borderId="1" xfId="0" applyFont="1" applyBorder="1" applyAlignment="1" applyProtection="1">
      <alignment horizontal="right" vertical="center" wrapText="1"/>
      <protection locked="0"/>
    </xf>
    <xf numFmtId="166" fontId="11" fillId="0" borderId="1" xfId="1" applyFont="1" applyBorder="1" applyAlignment="1" applyProtection="1">
      <alignment horizontal="right"/>
      <protection locked="0"/>
    </xf>
    <xf numFmtId="166" fontId="11" fillId="0" borderId="1" xfId="1" applyFont="1" applyBorder="1" applyAlignment="1">
      <alignment horizontal="right"/>
    </xf>
    <xf numFmtId="166" fontId="11" fillId="0" borderId="1" xfId="1" applyFont="1" applyBorder="1" applyAlignment="1">
      <alignment horizontal="right"/>
    </xf>
    <xf numFmtId="0" fontId="10" fillId="0" borderId="1" xfId="0" applyFont="1" applyBorder="1" applyAlignment="1">
      <alignment horizontal="right" vertical="center" wrapText="1"/>
    </xf>
    <xf numFmtId="166" fontId="11" fillId="0" borderId="1" xfId="1" applyFont="1" applyBorder="1" applyAlignment="1" applyProtection="1">
      <alignment horizontal="right"/>
    </xf>
    <xf numFmtId="0" fontId="10" fillId="0" borderId="1" xfId="0" applyFont="1" applyFill="1" applyBorder="1" applyAlignment="1" applyProtection="1">
      <alignment horizontal="right" vertical="center" wrapText="1"/>
      <protection locked="0"/>
    </xf>
    <xf numFmtId="166" fontId="12" fillId="0" borderId="1" xfId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DAE3F3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topLeftCell="A58" zoomScaleNormal="100" workbookViewId="0">
      <selection activeCell="C62" sqref="C62:D62"/>
    </sheetView>
  </sheetViews>
  <sheetFormatPr defaultColWidth="8.7109375" defaultRowHeight="15" x14ac:dyDescent="0.25"/>
  <cols>
    <col min="1" max="1" width="9.140625" style="73" customWidth="1"/>
    <col min="2" max="2" width="2.85546875" style="73" bestFit="1" customWidth="1"/>
    <col min="3" max="3" width="8.7109375" style="73"/>
    <col min="4" max="4" width="48.5703125" style="73" customWidth="1"/>
    <col min="5" max="5" width="5.28515625" style="102" bestFit="1" customWidth="1"/>
    <col min="6" max="6" width="8.7109375" style="102" customWidth="1"/>
    <col min="7" max="7" width="9.85546875" style="102" bestFit="1" customWidth="1"/>
    <col min="8" max="8" width="13.5703125" style="102" customWidth="1"/>
  </cols>
  <sheetData>
    <row r="1" spans="1:8" ht="39" customHeight="1" x14ac:dyDescent="0.25">
      <c r="A1" s="74" t="s">
        <v>0</v>
      </c>
      <c r="B1" s="74" t="s">
        <v>1</v>
      </c>
      <c r="C1" s="75" t="s">
        <v>2</v>
      </c>
      <c r="D1" s="75"/>
      <c r="E1" s="74" t="s">
        <v>3</v>
      </c>
      <c r="F1" s="74" t="s">
        <v>145</v>
      </c>
      <c r="G1" s="74" t="s">
        <v>146</v>
      </c>
      <c r="H1" s="74" t="s">
        <v>147</v>
      </c>
    </row>
    <row r="2" spans="1:8" ht="72" customHeight="1" x14ac:dyDescent="0.25">
      <c r="A2" s="75">
        <v>1</v>
      </c>
      <c r="B2" s="76">
        <v>1</v>
      </c>
      <c r="C2" s="77" t="s">
        <v>176</v>
      </c>
      <c r="D2" s="77"/>
      <c r="E2" s="94">
        <f>'ROTA 1'!C41*10</f>
        <v>12800</v>
      </c>
      <c r="F2" s="95">
        <f>ROUND('ROTA 1'!C72, 2)</f>
        <v>11.47</v>
      </c>
      <c r="G2" s="96">
        <f>E2*F2</f>
        <v>146816</v>
      </c>
      <c r="H2" s="97">
        <f>SUM(G2:G3)</f>
        <v>190860.79999999999</v>
      </c>
    </row>
    <row r="3" spans="1:8" ht="24" customHeight="1" x14ac:dyDescent="0.25">
      <c r="A3" s="75"/>
      <c r="B3" s="76">
        <v>2</v>
      </c>
      <c r="C3" s="78" t="s">
        <v>4</v>
      </c>
      <c r="D3" s="78"/>
      <c r="E3" s="98">
        <f>ROUND(E2*0.3,0)</f>
        <v>3840</v>
      </c>
      <c r="F3" s="99">
        <f>F2</f>
        <v>11.47</v>
      </c>
      <c r="G3" s="96">
        <f>E3*F3</f>
        <v>44044.800000000003</v>
      </c>
      <c r="H3" s="97"/>
    </row>
    <row r="4" spans="1:8" ht="60" customHeight="1" x14ac:dyDescent="0.25">
      <c r="A4" s="75">
        <v>2</v>
      </c>
      <c r="B4" s="76">
        <v>3</v>
      </c>
      <c r="C4" s="77" t="s">
        <v>5</v>
      </c>
      <c r="D4" s="77"/>
      <c r="E4" s="94">
        <f>'ROTA 2'!C41*10</f>
        <v>14400</v>
      </c>
      <c r="F4" s="95">
        <f>ROUND('ROTA 2'!C72, 2)</f>
        <v>10.85</v>
      </c>
      <c r="G4" s="96">
        <f t="shared" ref="G4:G35" si="0">F4*E4</f>
        <v>156240</v>
      </c>
      <c r="H4" s="97">
        <f>SUM(G4:G5)</f>
        <v>203112</v>
      </c>
    </row>
    <row r="5" spans="1:8" ht="30.75" customHeight="1" x14ac:dyDescent="0.25">
      <c r="A5" s="75"/>
      <c r="B5" s="76">
        <v>4</v>
      </c>
      <c r="C5" s="78" t="s">
        <v>6</v>
      </c>
      <c r="D5" s="78"/>
      <c r="E5" s="98">
        <f>ROUND(E4*0.3,0)</f>
        <v>4320</v>
      </c>
      <c r="F5" s="99">
        <f>F4</f>
        <v>10.85</v>
      </c>
      <c r="G5" s="96">
        <f t="shared" si="0"/>
        <v>46872</v>
      </c>
      <c r="H5" s="97"/>
    </row>
    <row r="6" spans="1:8" ht="81" customHeight="1" x14ac:dyDescent="0.25">
      <c r="A6" s="75">
        <v>3</v>
      </c>
      <c r="B6" s="76">
        <v>5</v>
      </c>
      <c r="C6" s="77" t="s">
        <v>7</v>
      </c>
      <c r="D6" s="77"/>
      <c r="E6" s="94">
        <f>'ROTA 3'!C41*10</f>
        <v>12000</v>
      </c>
      <c r="F6" s="95">
        <f>ROUND('ROTA 3'!C72, 2)</f>
        <v>15.14</v>
      </c>
      <c r="G6" s="96">
        <f t="shared" si="0"/>
        <v>181680</v>
      </c>
      <c r="H6" s="97">
        <f>SUM(G6:G7)</f>
        <v>236184</v>
      </c>
    </row>
    <row r="7" spans="1:8" ht="42.75" customHeight="1" x14ac:dyDescent="0.25">
      <c r="A7" s="75"/>
      <c r="B7" s="76">
        <v>6</v>
      </c>
      <c r="C7" s="78" t="s">
        <v>8</v>
      </c>
      <c r="D7" s="78"/>
      <c r="E7" s="98">
        <f>ROUND(E6*0.3,0)</f>
        <v>3600</v>
      </c>
      <c r="F7" s="99">
        <f>F6</f>
        <v>15.14</v>
      </c>
      <c r="G7" s="96">
        <f t="shared" si="0"/>
        <v>54504</v>
      </c>
      <c r="H7" s="97"/>
    </row>
    <row r="8" spans="1:8" ht="66.75" customHeight="1" x14ac:dyDescent="0.25">
      <c r="A8" s="75">
        <v>4</v>
      </c>
      <c r="B8" s="76">
        <v>7</v>
      </c>
      <c r="C8" s="77" t="s">
        <v>9</v>
      </c>
      <c r="D8" s="77"/>
      <c r="E8" s="94">
        <f>'ROTA 4'!C41*10</f>
        <v>20000</v>
      </c>
      <c r="F8" s="95">
        <f>'ROTA 4'!C72</f>
        <v>9.4539429504000001</v>
      </c>
      <c r="G8" s="96">
        <f t="shared" si="0"/>
        <v>189078.859008</v>
      </c>
      <c r="H8" s="97">
        <f>SUM(G8:G9)</f>
        <v>245802.5167104</v>
      </c>
    </row>
    <row r="9" spans="1:8" ht="33.75" customHeight="1" x14ac:dyDescent="0.25">
      <c r="A9" s="75"/>
      <c r="B9" s="76">
        <v>8</v>
      </c>
      <c r="C9" s="78" t="s">
        <v>10</v>
      </c>
      <c r="D9" s="78"/>
      <c r="E9" s="98">
        <f>ROUND(E8*0.3,0)</f>
        <v>6000</v>
      </c>
      <c r="F9" s="99">
        <f>F8</f>
        <v>9.4539429504000001</v>
      </c>
      <c r="G9" s="96">
        <f t="shared" si="0"/>
        <v>56723.6577024</v>
      </c>
      <c r="H9" s="97"/>
    </row>
    <row r="10" spans="1:8" ht="60" customHeight="1" x14ac:dyDescent="0.25">
      <c r="A10" s="75">
        <v>5</v>
      </c>
      <c r="B10" s="76">
        <v>9</v>
      </c>
      <c r="C10" s="77" t="s">
        <v>11</v>
      </c>
      <c r="D10" s="77"/>
      <c r="E10" s="94">
        <f>'ROTA 5'!C41*10</f>
        <v>4000</v>
      </c>
      <c r="F10" s="95">
        <f>ROUND('ROTA 5'!C72, 2)</f>
        <v>17.63</v>
      </c>
      <c r="G10" s="96">
        <f t="shared" si="0"/>
        <v>70520</v>
      </c>
      <c r="H10" s="97">
        <f>SUM(G10:G11)</f>
        <v>91676</v>
      </c>
    </row>
    <row r="11" spans="1:8" ht="30.75" customHeight="1" x14ac:dyDescent="0.25">
      <c r="A11" s="75"/>
      <c r="B11" s="76">
        <v>10</v>
      </c>
      <c r="C11" s="78" t="s">
        <v>12</v>
      </c>
      <c r="D11" s="78"/>
      <c r="E11" s="98">
        <f>ROUND(E10*0.3,0)</f>
        <v>1200</v>
      </c>
      <c r="F11" s="99">
        <f>F10</f>
        <v>17.63</v>
      </c>
      <c r="G11" s="96">
        <f t="shared" si="0"/>
        <v>21156</v>
      </c>
      <c r="H11" s="97"/>
    </row>
    <row r="12" spans="1:8" ht="88.5" customHeight="1" x14ac:dyDescent="0.25">
      <c r="A12" s="75">
        <v>6</v>
      </c>
      <c r="B12" s="76">
        <v>11</v>
      </c>
      <c r="C12" s="77" t="s">
        <v>13</v>
      </c>
      <c r="D12" s="77"/>
      <c r="E12" s="94">
        <f>'ROTA 6'!C41*10</f>
        <v>12000</v>
      </c>
      <c r="F12" s="99">
        <f>ROUND('ROTA 6'!C72, 2)</f>
        <v>15.14</v>
      </c>
      <c r="G12" s="96">
        <f t="shared" si="0"/>
        <v>181680</v>
      </c>
      <c r="H12" s="97">
        <f>SUM(G12:G13)</f>
        <v>236184</v>
      </c>
    </row>
    <row r="13" spans="1:8" ht="47.25" customHeight="1" x14ac:dyDescent="0.25">
      <c r="A13" s="75"/>
      <c r="B13" s="76">
        <v>12</v>
      </c>
      <c r="C13" s="78" t="s">
        <v>14</v>
      </c>
      <c r="D13" s="78"/>
      <c r="E13" s="98">
        <f>ROUND(E12*0.3,0)</f>
        <v>3600</v>
      </c>
      <c r="F13" s="99">
        <f>F12</f>
        <v>15.14</v>
      </c>
      <c r="G13" s="96">
        <f t="shared" si="0"/>
        <v>54504</v>
      </c>
      <c r="H13" s="97"/>
    </row>
    <row r="14" spans="1:8" ht="64.5" customHeight="1" x14ac:dyDescent="0.25">
      <c r="A14" s="75">
        <v>7</v>
      </c>
      <c r="B14" s="76">
        <v>13</v>
      </c>
      <c r="C14" s="77" t="s">
        <v>15</v>
      </c>
      <c r="D14" s="77"/>
      <c r="E14" s="94">
        <f>'ROTA 7'!C41*10</f>
        <v>12000</v>
      </c>
      <c r="F14" s="95">
        <f>ROUND('ROTA 7'!C72, 2)</f>
        <v>11.84</v>
      </c>
      <c r="G14" s="96">
        <f t="shared" si="0"/>
        <v>142080</v>
      </c>
      <c r="H14" s="97">
        <f>SUM(G14:G15)</f>
        <v>184704</v>
      </c>
    </row>
    <row r="15" spans="1:8" ht="33" customHeight="1" x14ac:dyDescent="0.25">
      <c r="A15" s="75"/>
      <c r="B15" s="76">
        <v>14</v>
      </c>
      <c r="C15" s="78" t="s">
        <v>16</v>
      </c>
      <c r="D15" s="78"/>
      <c r="E15" s="98">
        <f>ROUND(E14*0.3,0)</f>
        <v>3600</v>
      </c>
      <c r="F15" s="99">
        <f>F14</f>
        <v>11.84</v>
      </c>
      <c r="G15" s="96">
        <f t="shared" si="0"/>
        <v>42624</v>
      </c>
      <c r="H15" s="97"/>
    </row>
    <row r="16" spans="1:8" ht="78" customHeight="1" x14ac:dyDescent="0.25">
      <c r="A16" s="75">
        <v>8</v>
      </c>
      <c r="B16" s="76">
        <v>15</v>
      </c>
      <c r="C16" s="77" t="s">
        <v>17</v>
      </c>
      <c r="D16" s="77"/>
      <c r="E16" s="94">
        <f>'ROTA 8'!C41*10</f>
        <v>11200</v>
      </c>
      <c r="F16" s="95">
        <f>ROUND('ROTA 8'!C72, 2)</f>
        <v>15.65</v>
      </c>
      <c r="G16" s="96">
        <f t="shared" si="0"/>
        <v>175280</v>
      </c>
      <c r="H16" s="97">
        <f>SUM(G16:G17)</f>
        <v>227864</v>
      </c>
    </row>
    <row r="17" spans="1:8" ht="34.5" customHeight="1" x14ac:dyDescent="0.25">
      <c r="A17" s="75"/>
      <c r="B17" s="76">
        <v>16</v>
      </c>
      <c r="C17" s="78" t="s">
        <v>18</v>
      </c>
      <c r="D17" s="78"/>
      <c r="E17" s="98">
        <f>ROUND(E16*0.3,0)</f>
        <v>3360</v>
      </c>
      <c r="F17" s="99">
        <f>F16</f>
        <v>15.65</v>
      </c>
      <c r="G17" s="96">
        <f t="shared" si="0"/>
        <v>52584</v>
      </c>
      <c r="H17" s="97"/>
    </row>
    <row r="18" spans="1:8" ht="66" customHeight="1" x14ac:dyDescent="0.25">
      <c r="A18" s="75">
        <v>9</v>
      </c>
      <c r="B18" s="76">
        <v>17</v>
      </c>
      <c r="C18" s="77" t="s">
        <v>19</v>
      </c>
      <c r="D18" s="77"/>
      <c r="E18" s="94">
        <f>'ROTA 9'!C41*10</f>
        <v>8400</v>
      </c>
      <c r="F18" s="95">
        <f>ROUND('ROTA 9'!C72, 2)</f>
        <v>18.21</v>
      </c>
      <c r="G18" s="96">
        <f t="shared" si="0"/>
        <v>152964</v>
      </c>
      <c r="H18" s="97">
        <f>SUM(G18:G19)</f>
        <v>198853.2</v>
      </c>
    </row>
    <row r="19" spans="1:8" ht="28.5" customHeight="1" x14ac:dyDescent="0.25">
      <c r="A19" s="75"/>
      <c r="B19" s="76">
        <v>18</v>
      </c>
      <c r="C19" s="78" t="s">
        <v>20</v>
      </c>
      <c r="D19" s="78"/>
      <c r="E19" s="98">
        <f>ROUND(E18*0.3,0)</f>
        <v>2520</v>
      </c>
      <c r="F19" s="99">
        <f>F18</f>
        <v>18.21</v>
      </c>
      <c r="G19" s="96">
        <f t="shared" si="0"/>
        <v>45889.200000000004</v>
      </c>
      <c r="H19" s="97"/>
    </row>
    <row r="20" spans="1:8" ht="78" customHeight="1" x14ac:dyDescent="0.25">
      <c r="A20" s="75">
        <v>10</v>
      </c>
      <c r="B20" s="76">
        <v>19</v>
      </c>
      <c r="C20" s="77" t="s">
        <v>177</v>
      </c>
      <c r="D20" s="77"/>
      <c r="E20" s="94">
        <f>'ROTA 10'!C41*10</f>
        <v>30400</v>
      </c>
      <c r="F20" s="95">
        <f>ROUND('ROTA 10'!C72, 2)</f>
        <v>10.8</v>
      </c>
      <c r="G20" s="96">
        <f t="shared" si="0"/>
        <v>328320</v>
      </c>
      <c r="H20" s="97">
        <f>SUM(G20:G21)</f>
        <v>426816</v>
      </c>
    </row>
    <row r="21" spans="1:8" ht="29.25" customHeight="1" x14ac:dyDescent="0.25">
      <c r="A21" s="75"/>
      <c r="B21" s="76">
        <v>20</v>
      </c>
      <c r="C21" s="78" t="s">
        <v>21</v>
      </c>
      <c r="D21" s="78"/>
      <c r="E21" s="98">
        <f>ROUND(E20*0.3,0)</f>
        <v>9120</v>
      </c>
      <c r="F21" s="99">
        <f>F20</f>
        <v>10.8</v>
      </c>
      <c r="G21" s="96">
        <f t="shared" si="0"/>
        <v>98496</v>
      </c>
      <c r="H21" s="97"/>
    </row>
    <row r="22" spans="1:8" ht="60" customHeight="1" x14ac:dyDescent="0.25">
      <c r="A22" s="75">
        <v>11</v>
      </c>
      <c r="B22" s="76">
        <v>21</v>
      </c>
      <c r="C22" s="77" t="s">
        <v>22</v>
      </c>
      <c r="D22" s="77"/>
      <c r="E22" s="94">
        <f>'ROTA 11'!C41*10</f>
        <v>8400</v>
      </c>
      <c r="F22" s="95">
        <f>ROUND('ROTA 11'!C72, 2)</f>
        <v>14.4</v>
      </c>
      <c r="G22" s="96">
        <f t="shared" si="0"/>
        <v>120960</v>
      </c>
      <c r="H22" s="97">
        <f>SUM(G22:G23)</f>
        <v>157248</v>
      </c>
    </row>
    <row r="23" spans="1:8" ht="29.25" customHeight="1" x14ac:dyDescent="0.25">
      <c r="A23" s="75"/>
      <c r="B23" s="76">
        <v>22</v>
      </c>
      <c r="C23" s="78" t="s">
        <v>23</v>
      </c>
      <c r="D23" s="78"/>
      <c r="E23" s="98">
        <f>ROUND(E22*0.3,0)</f>
        <v>2520</v>
      </c>
      <c r="F23" s="99">
        <f>F22</f>
        <v>14.4</v>
      </c>
      <c r="G23" s="96">
        <f t="shared" si="0"/>
        <v>36288</v>
      </c>
      <c r="H23" s="97"/>
    </row>
    <row r="24" spans="1:8" ht="82.5" customHeight="1" x14ac:dyDescent="0.25">
      <c r="A24" s="75">
        <v>12</v>
      </c>
      <c r="B24" s="76">
        <v>23</v>
      </c>
      <c r="C24" s="77" t="s">
        <v>178</v>
      </c>
      <c r="D24" s="77"/>
      <c r="E24" s="100">
        <f>'ROTA 12'!C41*10</f>
        <v>16800</v>
      </c>
      <c r="F24" s="95">
        <f>'ROTA 12'!C72</f>
        <v>13.089715746428572</v>
      </c>
      <c r="G24" s="96">
        <f t="shared" si="0"/>
        <v>219907.22454000002</v>
      </c>
      <c r="H24" s="97">
        <f>SUM(G24:G25)</f>
        <v>285879.39190200006</v>
      </c>
    </row>
    <row r="25" spans="1:8" ht="36" customHeight="1" x14ac:dyDescent="0.25">
      <c r="A25" s="75"/>
      <c r="B25" s="76">
        <v>24</v>
      </c>
      <c r="C25" s="78" t="s">
        <v>24</v>
      </c>
      <c r="D25" s="78"/>
      <c r="E25" s="98">
        <f>ROUND(E24*0.3,0)</f>
        <v>5040</v>
      </c>
      <c r="F25" s="99">
        <f>F24</f>
        <v>13.089715746428572</v>
      </c>
      <c r="G25" s="96">
        <f t="shared" si="0"/>
        <v>65972.167362000007</v>
      </c>
      <c r="H25" s="97"/>
    </row>
    <row r="26" spans="1:8" ht="90.75" customHeight="1" x14ac:dyDescent="0.25">
      <c r="A26" s="75">
        <v>13</v>
      </c>
      <c r="B26" s="76">
        <v>25</v>
      </c>
      <c r="C26" s="77" t="s">
        <v>25</v>
      </c>
      <c r="D26" s="77"/>
      <c r="E26" s="94">
        <f>'ROTA 13'!C41*10</f>
        <v>24000</v>
      </c>
      <c r="F26" s="95">
        <f>ROUND('ROTA 13'!C72, 2)</f>
        <v>8.86</v>
      </c>
      <c r="G26" s="96">
        <f t="shared" si="0"/>
        <v>212640</v>
      </c>
      <c r="H26" s="97">
        <f>SUM(G26:G27)</f>
        <v>276432</v>
      </c>
    </row>
    <row r="27" spans="1:8" ht="40.5" customHeight="1" x14ac:dyDescent="0.25">
      <c r="A27" s="75"/>
      <c r="B27" s="76">
        <v>26</v>
      </c>
      <c r="C27" s="78" t="s">
        <v>26</v>
      </c>
      <c r="D27" s="78"/>
      <c r="E27" s="98">
        <f>ROUND(E26*0.3,0)</f>
        <v>7200</v>
      </c>
      <c r="F27" s="99">
        <f>F26</f>
        <v>8.86</v>
      </c>
      <c r="G27" s="96">
        <f t="shared" si="0"/>
        <v>63791.999999999993</v>
      </c>
      <c r="H27" s="97"/>
    </row>
    <row r="28" spans="1:8" ht="70.5" customHeight="1" x14ac:dyDescent="0.25">
      <c r="A28" s="75">
        <v>14</v>
      </c>
      <c r="B28" s="76">
        <v>27</v>
      </c>
      <c r="C28" s="77" t="s">
        <v>27</v>
      </c>
      <c r="D28" s="77"/>
      <c r="E28" s="94">
        <f>'ROTA 14'!C41*10</f>
        <v>8000</v>
      </c>
      <c r="F28" s="95">
        <f>ROUND('ROTA 14'!C72, 2)</f>
        <v>14.83</v>
      </c>
      <c r="G28" s="96">
        <f t="shared" si="0"/>
        <v>118640</v>
      </c>
      <c r="H28" s="97">
        <f>SUM(G28:G29)</f>
        <v>154232</v>
      </c>
    </row>
    <row r="29" spans="1:8" ht="27" customHeight="1" x14ac:dyDescent="0.25">
      <c r="A29" s="75"/>
      <c r="B29" s="76">
        <v>28</v>
      </c>
      <c r="C29" s="78" t="s">
        <v>28</v>
      </c>
      <c r="D29" s="78"/>
      <c r="E29" s="98">
        <f>ROUND(E28*0.3,0)</f>
        <v>2400</v>
      </c>
      <c r="F29" s="99">
        <f>F28</f>
        <v>14.83</v>
      </c>
      <c r="G29" s="96">
        <f t="shared" si="0"/>
        <v>35592</v>
      </c>
      <c r="H29" s="97"/>
    </row>
    <row r="30" spans="1:8" ht="80.25" customHeight="1" x14ac:dyDescent="0.25">
      <c r="A30" s="75">
        <v>15</v>
      </c>
      <c r="B30" s="76">
        <v>29</v>
      </c>
      <c r="C30" s="77" t="s">
        <v>179</v>
      </c>
      <c r="D30" s="77"/>
      <c r="E30" s="94">
        <f>'ROTA 15'!C41*10</f>
        <v>11600</v>
      </c>
      <c r="F30" s="95">
        <f>ROUND('ROTA 15'!C72, 2)</f>
        <v>15.39</v>
      </c>
      <c r="G30" s="96">
        <f t="shared" si="0"/>
        <v>178524</v>
      </c>
      <c r="H30" s="97">
        <f>SUM(G30:G31)</f>
        <v>232081.2</v>
      </c>
    </row>
    <row r="31" spans="1:8" ht="31.5" customHeight="1" x14ac:dyDescent="0.25">
      <c r="A31" s="75"/>
      <c r="B31" s="76">
        <v>30</v>
      </c>
      <c r="C31" s="78" t="s">
        <v>29</v>
      </c>
      <c r="D31" s="78"/>
      <c r="E31" s="98">
        <f>ROUND(E30*0.3,0)</f>
        <v>3480</v>
      </c>
      <c r="F31" s="99">
        <f>F30</f>
        <v>15.39</v>
      </c>
      <c r="G31" s="96">
        <f t="shared" si="0"/>
        <v>53557.200000000004</v>
      </c>
      <c r="H31" s="97"/>
    </row>
    <row r="32" spans="1:8" ht="73.5" customHeight="1" x14ac:dyDescent="0.25">
      <c r="A32" s="75">
        <v>16</v>
      </c>
      <c r="B32" s="76">
        <v>31</v>
      </c>
      <c r="C32" s="77" t="s">
        <v>30</v>
      </c>
      <c r="D32" s="77"/>
      <c r="E32" s="94">
        <f>'ROTA 16'!C41*10</f>
        <v>14400</v>
      </c>
      <c r="F32" s="95">
        <f>ROUND('ROTA 16'!C72, 2)</f>
        <v>10.85</v>
      </c>
      <c r="G32" s="96">
        <f t="shared" si="0"/>
        <v>156240</v>
      </c>
      <c r="H32" s="97">
        <f>SUM(G32:G33)</f>
        <v>203112</v>
      </c>
    </row>
    <row r="33" spans="1:8" ht="33" customHeight="1" x14ac:dyDescent="0.25">
      <c r="A33" s="75"/>
      <c r="B33" s="76">
        <v>32</v>
      </c>
      <c r="C33" s="78" t="s">
        <v>31</v>
      </c>
      <c r="D33" s="78"/>
      <c r="E33" s="98">
        <f>ROUND(E32*0.3,0)</f>
        <v>4320</v>
      </c>
      <c r="F33" s="99">
        <f>F32</f>
        <v>10.85</v>
      </c>
      <c r="G33" s="96">
        <f t="shared" si="0"/>
        <v>46872</v>
      </c>
      <c r="H33" s="97"/>
    </row>
    <row r="34" spans="1:8" ht="60" customHeight="1" x14ac:dyDescent="0.25">
      <c r="A34" s="75">
        <v>17</v>
      </c>
      <c r="B34" s="76">
        <v>33</v>
      </c>
      <c r="C34" s="77" t="s">
        <v>32</v>
      </c>
      <c r="D34" s="77"/>
      <c r="E34" s="94">
        <f>'ROTA 17'!C41*10</f>
        <v>8000</v>
      </c>
      <c r="F34" s="95">
        <f>ROUND('ROTA 17'!C72, 2)</f>
        <v>14.83</v>
      </c>
      <c r="G34" s="96">
        <f t="shared" si="0"/>
        <v>118640</v>
      </c>
      <c r="H34" s="97">
        <f>SUM(G34:G35)</f>
        <v>154232</v>
      </c>
    </row>
    <row r="35" spans="1:8" ht="30.75" customHeight="1" x14ac:dyDescent="0.25">
      <c r="A35" s="75"/>
      <c r="B35" s="76">
        <v>34</v>
      </c>
      <c r="C35" s="78" t="s">
        <v>33</v>
      </c>
      <c r="D35" s="78"/>
      <c r="E35" s="98">
        <f>ROUND(E34*0.3,0)</f>
        <v>2400</v>
      </c>
      <c r="F35" s="99">
        <f>F34</f>
        <v>14.83</v>
      </c>
      <c r="G35" s="96">
        <f t="shared" si="0"/>
        <v>35592</v>
      </c>
      <c r="H35" s="97"/>
    </row>
    <row r="36" spans="1:8" ht="66.75" customHeight="1" x14ac:dyDescent="0.25">
      <c r="A36" s="75">
        <v>18</v>
      </c>
      <c r="B36" s="76">
        <v>35</v>
      </c>
      <c r="C36" s="77" t="s">
        <v>34</v>
      </c>
      <c r="D36" s="77"/>
      <c r="E36" s="94">
        <f>'ROTA 18'!C41*10</f>
        <v>16000</v>
      </c>
      <c r="F36" s="95">
        <f>ROUND('ROTA 18'!C72, 2)</f>
        <v>10.35</v>
      </c>
      <c r="G36" s="96">
        <f t="shared" ref="G36:G67" si="1">F36*E36</f>
        <v>165600</v>
      </c>
      <c r="H36" s="97">
        <f>SUM(G36:G37)</f>
        <v>215280</v>
      </c>
    </row>
    <row r="37" spans="1:8" ht="32.25" customHeight="1" x14ac:dyDescent="0.25">
      <c r="A37" s="75"/>
      <c r="B37" s="76">
        <v>36</v>
      </c>
      <c r="C37" s="78" t="s">
        <v>35</v>
      </c>
      <c r="D37" s="78"/>
      <c r="E37" s="98">
        <f>ROUND(E36*0.3,0)</f>
        <v>4800</v>
      </c>
      <c r="F37" s="99">
        <f>F36</f>
        <v>10.35</v>
      </c>
      <c r="G37" s="96">
        <f t="shared" si="1"/>
        <v>49680</v>
      </c>
      <c r="H37" s="97"/>
    </row>
    <row r="38" spans="1:8" ht="77.25" customHeight="1" x14ac:dyDescent="0.25">
      <c r="A38" s="75">
        <v>19</v>
      </c>
      <c r="B38" s="76">
        <v>37</v>
      </c>
      <c r="C38" s="77" t="s">
        <v>180</v>
      </c>
      <c r="D38" s="77"/>
      <c r="E38" s="94">
        <f>'ROTA 19'!C41*10</f>
        <v>18400</v>
      </c>
      <c r="F38" s="95">
        <f>'ROTA 19'!C72</f>
        <v>12.644423559782611</v>
      </c>
      <c r="G38" s="96">
        <f t="shared" si="1"/>
        <v>232657.39350000003</v>
      </c>
      <c r="H38" s="97">
        <f>SUM(G38:G39)</f>
        <v>302454.61155000003</v>
      </c>
    </row>
    <row r="39" spans="1:8" ht="27" customHeight="1" x14ac:dyDescent="0.25">
      <c r="A39" s="75"/>
      <c r="B39" s="76">
        <v>38</v>
      </c>
      <c r="C39" s="78" t="s">
        <v>36</v>
      </c>
      <c r="D39" s="78"/>
      <c r="E39" s="98">
        <f>ROUND(E38*0.3,0)</f>
        <v>5520</v>
      </c>
      <c r="F39" s="99">
        <f>F38</f>
        <v>12.644423559782611</v>
      </c>
      <c r="G39" s="96">
        <f t="shared" si="1"/>
        <v>69797.21805000001</v>
      </c>
      <c r="H39" s="97"/>
    </row>
    <row r="40" spans="1:8" ht="81" customHeight="1" x14ac:dyDescent="0.25">
      <c r="A40" s="75">
        <v>20</v>
      </c>
      <c r="B40" s="76">
        <v>39</v>
      </c>
      <c r="C40" s="77" t="s">
        <v>181</v>
      </c>
      <c r="D40" s="77"/>
      <c r="E40" s="94">
        <f>'ROTA 20'!C41*10</f>
        <v>12000</v>
      </c>
      <c r="F40" s="95">
        <f>ROUND('ROTA 20'!C72, 2)</f>
        <v>11.84</v>
      </c>
      <c r="G40" s="96">
        <f t="shared" si="1"/>
        <v>142080</v>
      </c>
      <c r="H40" s="97">
        <f>SUM(G40:G41)</f>
        <v>184704</v>
      </c>
    </row>
    <row r="41" spans="1:8" ht="42.75" customHeight="1" x14ac:dyDescent="0.25">
      <c r="A41" s="75"/>
      <c r="B41" s="76">
        <v>40</v>
      </c>
      <c r="C41" s="78" t="s">
        <v>38</v>
      </c>
      <c r="D41" s="78"/>
      <c r="E41" s="98">
        <f>ROUND(E40*0.3,0)</f>
        <v>3600</v>
      </c>
      <c r="F41" s="99">
        <f>F40</f>
        <v>11.84</v>
      </c>
      <c r="G41" s="96">
        <f t="shared" si="1"/>
        <v>42624</v>
      </c>
      <c r="H41" s="97"/>
    </row>
    <row r="42" spans="1:8" ht="60" customHeight="1" x14ac:dyDescent="0.25">
      <c r="A42" s="75">
        <v>21</v>
      </c>
      <c r="B42" s="76">
        <v>41</v>
      </c>
      <c r="C42" s="77" t="s">
        <v>40</v>
      </c>
      <c r="D42" s="77"/>
      <c r="E42" s="94">
        <f>'ROTA 21'!C41*10</f>
        <v>4000</v>
      </c>
      <c r="F42" s="95">
        <f>ROUND('ROTA 21'!C72, 2)</f>
        <v>23.79</v>
      </c>
      <c r="G42" s="96">
        <f t="shared" si="1"/>
        <v>95160</v>
      </c>
      <c r="H42" s="97">
        <f>SUM(G42:G43)</f>
        <v>123708</v>
      </c>
    </row>
    <row r="43" spans="1:8" ht="40.5" customHeight="1" x14ac:dyDescent="0.25">
      <c r="A43" s="75"/>
      <c r="B43" s="76">
        <v>42</v>
      </c>
      <c r="C43" s="78" t="s">
        <v>41</v>
      </c>
      <c r="D43" s="78"/>
      <c r="E43" s="98">
        <f>ROUND(E42*0.3,0)</f>
        <v>1200</v>
      </c>
      <c r="F43" s="99">
        <f>F42</f>
        <v>23.79</v>
      </c>
      <c r="G43" s="96">
        <f t="shared" si="1"/>
        <v>28548</v>
      </c>
      <c r="H43" s="97"/>
    </row>
    <row r="44" spans="1:8" ht="70.5" customHeight="1" x14ac:dyDescent="0.25">
      <c r="A44" s="75">
        <v>22</v>
      </c>
      <c r="B44" s="76">
        <v>43</v>
      </c>
      <c r="C44" s="77" t="s">
        <v>42</v>
      </c>
      <c r="D44" s="77"/>
      <c r="E44" s="94">
        <f>'ROTA 22'!C41*10</f>
        <v>8000</v>
      </c>
      <c r="F44" s="95">
        <f>ROUND('ROTA 22'!C72, 2)</f>
        <v>14.83</v>
      </c>
      <c r="G44" s="96">
        <f t="shared" si="1"/>
        <v>118640</v>
      </c>
      <c r="H44" s="97">
        <f>SUM(G44:G45)</f>
        <v>154232</v>
      </c>
    </row>
    <row r="45" spans="1:8" ht="33.75" customHeight="1" x14ac:dyDescent="0.25">
      <c r="A45" s="75"/>
      <c r="B45" s="76">
        <v>44</v>
      </c>
      <c r="C45" s="78" t="s">
        <v>43</v>
      </c>
      <c r="D45" s="78"/>
      <c r="E45" s="98">
        <f>ROUND(E44*0.3,0)</f>
        <v>2400</v>
      </c>
      <c r="F45" s="99">
        <f>F44</f>
        <v>14.83</v>
      </c>
      <c r="G45" s="96">
        <f t="shared" si="1"/>
        <v>35592</v>
      </c>
      <c r="H45" s="97"/>
    </row>
    <row r="46" spans="1:8" ht="56.25" customHeight="1" x14ac:dyDescent="0.25">
      <c r="A46" s="75">
        <v>23</v>
      </c>
      <c r="B46" s="76">
        <v>45</v>
      </c>
      <c r="C46" s="77" t="s">
        <v>45</v>
      </c>
      <c r="D46" s="77"/>
      <c r="E46" s="94">
        <f>'ROTA 23'!C41*10</f>
        <v>3200</v>
      </c>
      <c r="F46" s="95">
        <f>ROUND('ROTA 23'!C72, 2)</f>
        <v>28.28</v>
      </c>
      <c r="G46" s="96">
        <f t="shared" si="1"/>
        <v>90496</v>
      </c>
      <c r="H46" s="97">
        <f>SUM(G46:G47)</f>
        <v>117644.8</v>
      </c>
    </row>
    <row r="47" spans="1:8" ht="34.5" customHeight="1" x14ac:dyDescent="0.25">
      <c r="A47" s="75"/>
      <c r="B47" s="76">
        <v>46</v>
      </c>
      <c r="C47" s="78" t="s">
        <v>46</v>
      </c>
      <c r="D47" s="78"/>
      <c r="E47" s="98">
        <f>ROUND(E46*0.3,0)</f>
        <v>960</v>
      </c>
      <c r="F47" s="99">
        <f>F46</f>
        <v>28.28</v>
      </c>
      <c r="G47" s="96">
        <f t="shared" si="1"/>
        <v>27148.800000000003</v>
      </c>
      <c r="H47" s="97"/>
    </row>
    <row r="48" spans="1:8" ht="68.25" customHeight="1" x14ac:dyDescent="0.25">
      <c r="A48" s="75">
        <v>24</v>
      </c>
      <c r="B48" s="76">
        <v>47</v>
      </c>
      <c r="C48" s="77" t="s">
        <v>151</v>
      </c>
      <c r="D48" s="77"/>
      <c r="E48" s="94">
        <f>'ROTA 24'!C41*10</f>
        <v>3600</v>
      </c>
      <c r="F48" s="95">
        <f>ROUND('ROTA 24'!C72, 2)</f>
        <v>19.100000000000001</v>
      </c>
      <c r="G48" s="96">
        <f t="shared" si="1"/>
        <v>68760</v>
      </c>
      <c r="H48" s="97">
        <f>SUM(G48:G49)</f>
        <v>89388</v>
      </c>
    </row>
    <row r="49" spans="1:8" ht="39" customHeight="1" x14ac:dyDescent="0.25">
      <c r="A49" s="75"/>
      <c r="B49" s="76">
        <v>48</v>
      </c>
      <c r="C49" s="78" t="s">
        <v>48</v>
      </c>
      <c r="D49" s="78"/>
      <c r="E49" s="98">
        <f>ROUND(E48*0.3,0)</f>
        <v>1080</v>
      </c>
      <c r="F49" s="99">
        <f>F48</f>
        <v>19.100000000000001</v>
      </c>
      <c r="G49" s="96">
        <f t="shared" si="1"/>
        <v>20628</v>
      </c>
      <c r="H49" s="97"/>
    </row>
    <row r="50" spans="1:8" ht="69" customHeight="1" x14ac:dyDescent="0.25">
      <c r="A50" s="75">
        <v>25</v>
      </c>
      <c r="B50" s="76">
        <v>49</v>
      </c>
      <c r="C50" s="77" t="s">
        <v>182</v>
      </c>
      <c r="D50" s="77"/>
      <c r="E50" s="94">
        <f>'ROTA 25'!C41*10</f>
        <v>12000</v>
      </c>
      <c r="F50" s="95">
        <f>ROUND('ROTA 25'!C72, 2)</f>
        <v>11.84</v>
      </c>
      <c r="G50" s="96">
        <f t="shared" si="1"/>
        <v>142080</v>
      </c>
      <c r="H50" s="97">
        <f>SUM(G50:G51)</f>
        <v>184704</v>
      </c>
    </row>
    <row r="51" spans="1:8" ht="35.25" customHeight="1" x14ac:dyDescent="0.25">
      <c r="A51" s="75"/>
      <c r="B51" s="76">
        <v>50</v>
      </c>
      <c r="C51" s="78" t="s">
        <v>50</v>
      </c>
      <c r="D51" s="78"/>
      <c r="E51" s="98">
        <f>ROUND(E50*0.3,0)</f>
        <v>3600</v>
      </c>
      <c r="F51" s="99">
        <f>F50</f>
        <v>11.84</v>
      </c>
      <c r="G51" s="96">
        <f t="shared" si="1"/>
        <v>42624</v>
      </c>
      <c r="H51" s="97"/>
    </row>
    <row r="52" spans="1:8" ht="76.5" customHeight="1" x14ac:dyDescent="0.25">
      <c r="A52" s="75">
        <v>26</v>
      </c>
      <c r="B52" s="76">
        <v>51</v>
      </c>
      <c r="C52" s="77" t="s">
        <v>183</v>
      </c>
      <c r="D52" s="77"/>
      <c r="E52" s="94">
        <f>'ROTA 26'!C41*10</f>
        <v>12800</v>
      </c>
      <c r="F52" s="95">
        <f>'ROTA 26'!C72</f>
        <v>11.470509359999999</v>
      </c>
      <c r="G52" s="96">
        <f t="shared" si="1"/>
        <v>146822.51980799998</v>
      </c>
      <c r="H52" s="97">
        <f>SUM(G52:G53)</f>
        <v>190869.27575039997</v>
      </c>
    </row>
    <row r="53" spans="1:8" ht="36.75" customHeight="1" x14ac:dyDescent="0.25">
      <c r="A53" s="75"/>
      <c r="B53" s="76">
        <v>52</v>
      </c>
      <c r="C53" s="78" t="s">
        <v>52</v>
      </c>
      <c r="D53" s="78"/>
      <c r="E53" s="98">
        <f>ROUND(E52*0.3,0)</f>
        <v>3840</v>
      </c>
      <c r="F53" s="99">
        <f>F52</f>
        <v>11.470509359999999</v>
      </c>
      <c r="G53" s="96">
        <f t="shared" si="1"/>
        <v>44046.755942399999</v>
      </c>
      <c r="H53" s="97"/>
    </row>
    <row r="54" spans="1:8" ht="75.75" customHeight="1" x14ac:dyDescent="0.25">
      <c r="A54" s="75">
        <v>27</v>
      </c>
      <c r="B54" s="76">
        <v>53</v>
      </c>
      <c r="C54" s="77" t="s">
        <v>54</v>
      </c>
      <c r="D54" s="77"/>
      <c r="E54" s="94">
        <f>'ROTA 27'!C41*10</f>
        <v>24000</v>
      </c>
      <c r="F54" s="95">
        <f>ROUND('ROTA 27'!C72, 2)</f>
        <v>8.56</v>
      </c>
      <c r="G54" s="96">
        <f t="shared" si="1"/>
        <v>205440</v>
      </c>
      <c r="H54" s="97">
        <f>SUM(G54:G55)</f>
        <v>267072</v>
      </c>
    </row>
    <row r="55" spans="1:8" ht="36" customHeight="1" x14ac:dyDescent="0.25">
      <c r="A55" s="75"/>
      <c r="B55" s="76">
        <v>54</v>
      </c>
      <c r="C55" s="78" t="s">
        <v>55</v>
      </c>
      <c r="D55" s="78"/>
      <c r="E55" s="98">
        <f>ROUND(E54*0.3,0)</f>
        <v>7200</v>
      </c>
      <c r="F55" s="99">
        <f>F54</f>
        <v>8.56</v>
      </c>
      <c r="G55" s="96">
        <f t="shared" si="1"/>
        <v>61632</v>
      </c>
      <c r="H55" s="97"/>
    </row>
    <row r="56" spans="1:8" ht="75.75" customHeight="1" x14ac:dyDescent="0.25">
      <c r="A56" s="75">
        <v>28</v>
      </c>
      <c r="B56" s="76">
        <v>55</v>
      </c>
      <c r="C56" s="77" t="s">
        <v>57</v>
      </c>
      <c r="D56" s="77"/>
      <c r="E56" s="94">
        <f>'ROTA 28'!C41*10</f>
        <v>2400</v>
      </c>
      <c r="F56" s="95">
        <f>ROUND('ROTA 28'!C72, 2)</f>
        <v>35.74</v>
      </c>
      <c r="G56" s="96">
        <f t="shared" si="1"/>
        <v>85776</v>
      </c>
      <c r="H56" s="97">
        <f>SUM(G56:G57)</f>
        <v>111508.8</v>
      </c>
    </row>
    <row r="57" spans="1:8" ht="33.75" customHeight="1" x14ac:dyDescent="0.25">
      <c r="A57" s="75"/>
      <c r="B57" s="76">
        <v>56</v>
      </c>
      <c r="C57" s="78" t="s">
        <v>58</v>
      </c>
      <c r="D57" s="78"/>
      <c r="E57" s="98">
        <f>ROUND(E56*0.3,0)</f>
        <v>720</v>
      </c>
      <c r="F57" s="99">
        <f>F56</f>
        <v>35.74</v>
      </c>
      <c r="G57" s="96">
        <f t="shared" si="1"/>
        <v>25732.800000000003</v>
      </c>
      <c r="H57" s="97"/>
    </row>
    <row r="58" spans="1:8" ht="74.25" customHeight="1" x14ac:dyDescent="0.25">
      <c r="A58" s="75">
        <v>29</v>
      </c>
      <c r="B58" s="76">
        <v>57</v>
      </c>
      <c r="C58" s="77" t="s">
        <v>60</v>
      </c>
      <c r="D58" s="77"/>
      <c r="E58" s="94">
        <f>'ROTA 29'!C41*10</f>
        <v>23200</v>
      </c>
      <c r="F58" s="95">
        <f>ROUND('ROTA 29'!C72, 2)</f>
        <v>12.91</v>
      </c>
      <c r="G58" s="96">
        <f t="shared" si="1"/>
        <v>299512</v>
      </c>
      <c r="H58" s="97">
        <f>SUM(G58:G59)</f>
        <v>389365.6</v>
      </c>
    </row>
    <row r="59" spans="1:8" ht="24.75" customHeight="1" x14ac:dyDescent="0.25">
      <c r="A59" s="75"/>
      <c r="B59" s="76">
        <v>58</v>
      </c>
      <c r="C59" s="78" t="s">
        <v>61</v>
      </c>
      <c r="D59" s="78"/>
      <c r="E59" s="98">
        <f>ROUND(E58*0.3,0)</f>
        <v>6960</v>
      </c>
      <c r="F59" s="99">
        <f>F58</f>
        <v>12.91</v>
      </c>
      <c r="G59" s="96">
        <f t="shared" si="1"/>
        <v>89853.6</v>
      </c>
      <c r="H59" s="97"/>
    </row>
    <row r="60" spans="1:8" ht="70.5" customHeight="1" x14ac:dyDescent="0.25">
      <c r="A60" s="75">
        <v>30</v>
      </c>
      <c r="B60" s="76">
        <v>59</v>
      </c>
      <c r="C60" s="77" t="s">
        <v>63</v>
      </c>
      <c r="D60" s="77"/>
      <c r="E60" s="94">
        <f>'ROTA 30'!C41*10</f>
        <v>23200</v>
      </c>
      <c r="F60" s="95">
        <f>ROUND('ROTA 30'!C72, 2)</f>
        <v>12.91</v>
      </c>
      <c r="G60" s="96">
        <f t="shared" si="1"/>
        <v>299512</v>
      </c>
      <c r="H60" s="97">
        <f>SUM(G60:G61)</f>
        <v>389365.6</v>
      </c>
    </row>
    <row r="61" spans="1:8" ht="21.75" customHeight="1" x14ac:dyDescent="0.25">
      <c r="A61" s="75"/>
      <c r="B61" s="76">
        <v>60</v>
      </c>
      <c r="C61" s="78" t="s">
        <v>61</v>
      </c>
      <c r="D61" s="78"/>
      <c r="E61" s="98">
        <f>ROUND(E60*0.3,0)</f>
        <v>6960</v>
      </c>
      <c r="F61" s="99">
        <f>F60</f>
        <v>12.91</v>
      </c>
      <c r="G61" s="96">
        <f t="shared" si="1"/>
        <v>89853.6</v>
      </c>
      <c r="H61" s="97"/>
    </row>
    <row r="62" spans="1:8" ht="66.75" customHeight="1" x14ac:dyDescent="0.25">
      <c r="A62" s="75">
        <v>31</v>
      </c>
      <c r="B62" s="76">
        <v>61</v>
      </c>
      <c r="C62" s="77" t="s">
        <v>184</v>
      </c>
      <c r="D62" s="77"/>
      <c r="E62" s="94">
        <f>'ROTA 31'!C41*10</f>
        <v>23200</v>
      </c>
      <c r="F62" s="95">
        <f>ROUND('ROTA 31'!C72, 2)</f>
        <v>12.91</v>
      </c>
      <c r="G62" s="96">
        <f t="shared" si="1"/>
        <v>299512</v>
      </c>
      <c r="H62" s="97">
        <f>SUM(G62:G63)</f>
        <v>389365.6</v>
      </c>
    </row>
    <row r="63" spans="1:8" ht="24.75" customHeight="1" x14ac:dyDescent="0.25">
      <c r="A63" s="75"/>
      <c r="B63" s="76">
        <v>62</v>
      </c>
      <c r="C63" s="78" t="s">
        <v>61</v>
      </c>
      <c r="D63" s="78"/>
      <c r="E63" s="98">
        <f>ROUND(E62*0.3,0)</f>
        <v>6960</v>
      </c>
      <c r="F63" s="99">
        <f>F62</f>
        <v>12.91</v>
      </c>
      <c r="G63" s="96">
        <f t="shared" si="1"/>
        <v>89853.6</v>
      </c>
      <c r="H63" s="97"/>
    </row>
    <row r="64" spans="1:8" ht="69.75" customHeight="1" x14ac:dyDescent="0.25">
      <c r="A64" s="75">
        <v>32</v>
      </c>
      <c r="B64" s="76">
        <v>63</v>
      </c>
      <c r="C64" s="77" t="s">
        <v>66</v>
      </c>
      <c r="D64" s="77"/>
      <c r="E64" s="94">
        <f>'ROTA 32'!C41*10</f>
        <v>12000</v>
      </c>
      <c r="F64" s="95">
        <f>ROUND('ROTA 32'!C72, 2)</f>
        <v>11.21</v>
      </c>
      <c r="G64" s="96">
        <f t="shared" si="1"/>
        <v>134520</v>
      </c>
      <c r="H64" s="97">
        <f>SUM(G64:G65)</f>
        <v>174876</v>
      </c>
    </row>
    <row r="65" spans="1:8" ht="30.75" customHeight="1" x14ac:dyDescent="0.25">
      <c r="A65" s="75"/>
      <c r="B65" s="76">
        <v>64</v>
      </c>
      <c r="C65" s="78" t="s">
        <v>67</v>
      </c>
      <c r="D65" s="78"/>
      <c r="E65" s="98">
        <f>ROUND(E64*0.3,0)</f>
        <v>3600</v>
      </c>
      <c r="F65" s="99">
        <f>F64</f>
        <v>11.21</v>
      </c>
      <c r="G65" s="96">
        <f t="shared" si="1"/>
        <v>40356</v>
      </c>
      <c r="H65" s="97"/>
    </row>
    <row r="66" spans="1:8" ht="72.75" customHeight="1" x14ac:dyDescent="0.25">
      <c r="A66" s="79">
        <v>33</v>
      </c>
      <c r="B66" s="76">
        <v>65</v>
      </c>
      <c r="C66" s="78" t="s">
        <v>69</v>
      </c>
      <c r="D66" s="78"/>
      <c r="E66" s="98">
        <f>'ROTA 36'!$C$41*10</f>
        <v>20000</v>
      </c>
      <c r="F66" s="99">
        <f>ROUND('ROTA 36'!C72, 2)</f>
        <v>7</v>
      </c>
      <c r="G66" s="96">
        <f t="shared" si="1"/>
        <v>140000</v>
      </c>
      <c r="H66" s="96">
        <f>G66</f>
        <v>140000</v>
      </c>
    </row>
    <row r="67" spans="1:8" ht="72" customHeight="1" x14ac:dyDescent="0.25">
      <c r="A67" s="79">
        <v>34</v>
      </c>
      <c r="B67" s="76">
        <v>66</v>
      </c>
      <c r="C67" s="78" t="s">
        <v>70</v>
      </c>
      <c r="D67" s="78"/>
      <c r="E67" s="98">
        <f>'ROTA 35'!$C$41*10</f>
        <v>20000</v>
      </c>
      <c r="F67" s="99">
        <f>ROUND('ROTA 35'!C72, 2)</f>
        <v>9.09</v>
      </c>
      <c r="G67" s="96">
        <f t="shared" si="1"/>
        <v>181800</v>
      </c>
      <c r="H67" s="96">
        <f>G67</f>
        <v>181800</v>
      </c>
    </row>
    <row r="68" spans="1:8" ht="90" customHeight="1" x14ac:dyDescent="0.25">
      <c r="A68" s="79">
        <v>35</v>
      </c>
      <c r="B68" s="76">
        <v>67</v>
      </c>
      <c r="C68" s="78" t="s">
        <v>71</v>
      </c>
      <c r="D68" s="78"/>
      <c r="E68" s="98">
        <f>'ROTA 34'!$C$41*10</f>
        <v>20000</v>
      </c>
      <c r="F68" s="99">
        <f>ROUND('ROTA 34'!C72, 2)</f>
        <v>13.36</v>
      </c>
      <c r="G68" s="96">
        <f t="shared" ref="G68:G69" si="2">F68*E68</f>
        <v>267200</v>
      </c>
      <c r="H68" s="96">
        <f>G68</f>
        <v>267200</v>
      </c>
    </row>
    <row r="69" spans="1:8" ht="82.5" customHeight="1" x14ac:dyDescent="0.25">
      <c r="A69" s="79">
        <v>36</v>
      </c>
      <c r="B69" s="76">
        <v>68</v>
      </c>
      <c r="C69" s="78" t="s">
        <v>72</v>
      </c>
      <c r="D69" s="78"/>
      <c r="E69" s="98">
        <f>'ROTA 33'!$C$41*10</f>
        <v>20000</v>
      </c>
      <c r="F69" s="99">
        <f>ROUND('ROTA 33'!C72, 2)</f>
        <v>13.36</v>
      </c>
      <c r="G69" s="96">
        <f t="shared" si="2"/>
        <v>267200</v>
      </c>
      <c r="H69" s="96">
        <f>G69</f>
        <v>267200</v>
      </c>
    </row>
    <row r="70" spans="1:8" x14ac:dyDescent="0.25">
      <c r="A70" s="75" t="s">
        <v>73</v>
      </c>
      <c r="B70" s="75"/>
      <c r="C70" s="75"/>
      <c r="D70" s="75"/>
      <c r="E70" s="75"/>
      <c r="F70" s="75"/>
      <c r="G70" s="101">
        <f>SUM(H2:H69)</f>
        <v>7846011.3959127981</v>
      </c>
      <c r="H70" s="101"/>
    </row>
  </sheetData>
  <mergeCells count="135">
    <mergeCell ref="C66:D66"/>
    <mergeCell ref="C67:D67"/>
    <mergeCell ref="C68:D68"/>
    <mergeCell ref="C69:D69"/>
    <mergeCell ref="A70:F70"/>
    <mergeCell ref="G70:H70"/>
    <mergeCell ref="A60:A61"/>
    <mergeCell ref="C60:D60"/>
    <mergeCell ref="H60:H61"/>
    <mergeCell ref="C61:D61"/>
    <mergeCell ref="A62:A63"/>
    <mergeCell ref="C62:D62"/>
    <mergeCell ref="H62:H63"/>
    <mergeCell ref="C63:D63"/>
    <mergeCell ref="A64:A65"/>
    <mergeCell ref="C64:D64"/>
    <mergeCell ref="H64:H65"/>
    <mergeCell ref="C65:D65"/>
    <mergeCell ref="A54:A55"/>
    <mergeCell ref="C54:D54"/>
    <mergeCell ref="H54:H55"/>
    <mergeCell ref="C55:D55"/>
    <mergeCell ref="A56:A57"/>
    <mergeCell ref="C56:D56"/>
    <mergeCell ref="H56:H57"/>
    <mergeCell ref="C57:D57"/>
    <mergeCell ref="A58:A59"/>
    <mergeCell ref="C58:D58"/>
    <mergeCell ref="H58:H59"/>
    <mergeCell ref="C59:D59"/>
    <mergeCell ref="A48:A49"/>
    <mergeCell ref="C48:D48"/>
    <mergeCell ref="H48:H49"/>
    <mergeCell ref="C49:D49"/>
    <mergeCell ref="A50:A51"/>
    <mergeCell ref="C50:D50"/>
    <mergeCell ref="H50:H51"/>
    <mergeCell ref="C51:D51"/>
    <mergeCell ref="A52:A53"/>
    <mergeCell ref="C52:D52"/>
    <mergeCell ref="H52:H53"/>
    <mergeCell ref="C53:D53"/>
    <mergeCell ref="A42:A43"/>
    <mergeCell ref="C42:D42"/>
    <mergeCell ref="H42:H43"/>
    <mergeCell ref="C43:D43"/>
    <mergeCell ref="A44:A45"/>
    <mergeCell ref="C44:D44"/>
    <mergeCell ref="H44:H45"/>
    <mergeCell ref="C45:D45"/>
    <mergeCell ref="A46:A47"/>
    <mergeCell ref="C46:D46"/>
    <mergeCell ref="H46:H47"/>
    <mergeCell ref="C47:D47"/>
    <mergeCell ref="A36:A37"/>
    <mergeCell ref="C36:D36"/>
    <mergeCell ref="H36:H37"/>
    <mergeCell ref="C37:D37"/>
    <mergeCell ref="A38:A39"/>
    <mergeCell ref="C38:D38"/>
    <mergeCell ref="H38:H39"/>
    <mergeCell ref="C39:D39"/>
    <mergeCell ref="A40:A41"/>
    <mergeCell ref="C40:D40"/>
    <mergeCell ref="H40:H41"/>
    <mergeCell ref="C41:D41"/>
    <mergeCell ref="A30:A31"/>
    <mergeCell ref="C30:D30"/>
    <mergeCell ref="H30:H31"/>
    <mergeCell ref="C31:D31"/>
    <mergeCell ref="A32:A33"/>
    <mergeCell ref="C32:D32"/>
    <mergeCell ref="H32:H33"/>
    <mergeCell ref="C33:D33"/>
    <mergeCell ref="A34:A35"/>
    <mergeCell ref="C34:D34"/>
    <mergeCell ref="H34:H35"/>
    <mergeCell ref="C35:D35"/>
    <mergeCell ref="A24:A25"/>
    <mergeCell ref="C24:D24"/>
    <mergeCell ref="H24:H25"/>
    <mergeCell ref="C25:D25"/>
    <mergeCell ref="A26:A27"/>
    <mergeCell ref="C26:D26"/>
    <mergeCell ref="H26:H27"/>
    <mergeCell ref="C27:D27"/>
    <mergeCell ref="A28:A29"/>
    <mergeCell ref="C28:D28"/>
    <mergeCell ref="H28:H29"/>
    <mergeCell ref="C29:D29"/>
    <mergeCell ref="A18:A19"/>
    <mergeCell ref="C18:D18"/>
    <mergeCell ref="H18:H19"/>
    <mergeCell ref="C19:D19"/>
    <mergeCell ref="A20:A21"/>
    <mergeCell ref="C20:D20"/>
    <mergeCell ref="H20:H21"/>
    <mergeCell ref="C21:D21"/>
    <mergeCell ref="A22:A23"/>
    <mergeCell ref="C22:D22"/>
    <mergeCell ref="H22:H23"/>
    <mergeCell ref="C23:D23"/>
    <mergeCell ref="A12:A13"/>
    <mergeCell ref="C12:D12"/>
    <mergeCell ref="H12:H13"/>
    <mergeCell ref="C13:D13"/>
    <mergeCell ref="A14:A15"/>
    <mergeCell ref="C14:D14"/>
    <mergeCell ref="H14:H15"/>
    <mergeCell ref="C15:D15"/>
    <mergeCell ref="A16:A17"/>
    <mergeCell ref="C16:D16"/>
    <mergeCell ref="H16:H17"/>
    <mergeCell ref="C17:D17"/>
    <mergeCell ref="A6:A7"/>
    <mergeCell ref="C6:D6"/>
    <mergeCell ref="H6:H7"/>
    <mergeCell ref="C7:D7"/>
    <mergeCell ref="A8:A9"/>
    <mergeCell ref="C8:D8"/>
    <mergeCell ref="H8:H9"/>
    <mergeCell ref="C9:D9"/>
    <mergeCell ref="A10:A11"/>
    <mergeCell ref="C10:D10"/>
    <mergeCell ref="H10:H11"/>
    <mergeCell ref="C11:D11"/>
    <mergeCell ref="C1:D1"/>
    <mergeCell ref="A2:A3"/>
    <mergeCell ref="C2:D2"/>
    <mergeCell ref="H2:H3"/>
    <mergeCell ref="C3:D3"/>
    <mergeCell ref="A4:A5"/>
    <mergeCell ref="C4:D4"/>
    <mergeCell ref="H4:H5"/>
    <mergeCell ref="C5:D5"/>
  </mergeCells>
  <pageMargins left="0.25" right="0.25" top="0.75" bottom="0.75" header="0.511811023622047" footer="0.511811023622047"/>
  <pageSetup paperSize="9" scale="92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tabSelected="1" topLeftCell="A60" zoomScaleNormal="100" workbookViewId="0">
      <selection activeCell="B81" sqref="B81"/>
    </sheetView>
  </sheetViews>
  <sheetFormatPr defaultColWidth="8.7109375" defaultRowHeight="15" x14ac:dyDescent="0.25"/>
  <cols>
    <col min="1" max="1" width="2.85546875" style="7" customWidth="1"/>
    <col min="2" max="2" width="29.28515625" style="8" customWidth="1"/>
    <col min="3" max="3" width="12.85546875" style="9" customWidth="1"/>
    <col min="4" max="4" width="16.28515625" style="9" customWidth="1"/>
    <col min="5" max="5" width="12.85546875" style="9" customWidth="1"/>
    <col min="6" max="6" width="14" style="9" customWidth="1"/>
    <col min="7" max="7" width="12.5703125" style="9" customWidth="1"/>
  </cols>
  <sheetData>
    <row r="1" spans="1:11" x14ac:dyDescent="0.25">
      <c r="B1" s="6" t="s">
        <v>74</v>
      </c>
      <c r="C1" s="6"/>
      <c r="D1" s="6"/>
      <c r="E1" s="6"/>
      <c r="F1" s="6"/>
      <c r="G1" s="10"/>
    </row>
    <row r="2" spans="1:11" x14ac:dyDescent="0.25">
      <c r="B2" s="6"/>
      <c r="C2" s="6"/>
      <c r="D2" s="6"/>
      <c r="E2" s="6"/>
      <c r="F2" s="6"/>
      <c r="G2" s="10"/>
    </row>
    <row r="3" spans="1:11" x14ac:dyDescent="0.25">
      <c r="B3" s="11" t="s">
        <v>75</v>
      </c>
      <c r="C3" s="5">
        <v>10</v>
      </c>
      <c r="D3" s="5"/>
      <c r="E3" s="5"/>
      <c r="F3" s="5"/>
      <c r="G3" s="12"/>
    </row>
    <row r="4" spans="1:11" x14ac:dyDescent="0.25">
      <c r="B4" s="11" t="s">
        <v>76</v>
      </c>
      <c r="C4" s="5">
        <v>20</v>
      </c>
      <c r="D4" s="5"/>
      <c r="E4" s="5"/>
      <c r="F4" s="5"/>
      <c r="G4" s="12"/>
    </row>
    <row r="5" spans="1:11" x14ac:dyDescent="0.25">
      <c r="B5" s="12" t="s">
        <v>77</v>
      </c>
      <c r="C5" s="5">
        <v>7.28</v>
      </c>
      <c r="D5" s="5"/>
      <c r="E5" s="5"/>
      <c r="F5" s="5"/>
      <c r="G5" s="12"/>
    </row>
    <row r="6" spans="1:11" x14ac:dyDescent="0.25">
      <c r="B6" s="12" t="s">
        <v>78</v>
      </c>
      <c r="C6" s="5">
        <v>7.52</v>
      </c>
      <c r="D6" s="5"/>
      <c r="E6" s="5"/>
      <c r="F6" s="5"/>
      <c r="G6" s="12"/>
      <c r="H6" s="13"/>
      <c r="I6" s="13"/>
      <c r="J6" s="13"/>
      <c r="K6" s="13"/>
    </row>
    <row r="7" spans="1:11" x14ac:dyDescent="0.25">
      <c r="B7" s="14" t="s">
        <v>79</v>
      </c>
      <c r="C7" s="15"/>
      <c r="D7" s="16"/>
      <c r="E7" s="16"/>
      <c r="F7" s="16"/>
      <c r="H7" s="13"/>
      <c r="I7" s="13"/>
      <c r="J7" s="13"/>
      <c r="K7" s="13"/>
    </row>
    <row r="8" spans="1:11" s="20" customFormat="1" x14ac:dyDescent="0.25">
      <c r="A8" s="17"/>
      <c r="B8" s="18" t="s">
        <v>80</v>
      </c>
      <c r="C8" s="19" t="s">
        <v>81</v>
      </c>
      <c r="D8" s="19" t="s">
        <v>81</v>
      </c>
      <c r="E8" s="19" t="s">
        <v>81</v>
      </c>
      <c r="F8" s="19" t="s">
        <v>81</v>
      </c>
      <c r="G8" s="9"/>
      <c r="H8" s="13"/>
      <c r="I8" s="13"/>
      <c r="J8" s="13"/>
      <c r="K8" s="13"/>
    </row>
    <row r="9" spans="1:11" x14ac:dyDescent="0.25">
      <c r="B9" s="8" t="s">
        <v>82</v>
      </c>
      <c r="C9" s="9">
        <v>100</v>
      </c>
      <c r="D9" s="9">
        <v>100</v>
      </c>
      <c r="E9" s="9">
        <v>100</v>
      </c>
      <c r="F9" s="9">
        <v>100</v>
      </c>
    </row>
    <row r="10" spans="1:11" x14ac:dyDescent="0.25">
      <c r="B10" s="8" t="s">
        <v>83</v>
      </c>
      <c r="C10" s="21" t="s">
        <v>84</v>
      </c>
      <c r="D10" s="21" t="s">
        <v>85</v>
      </c>
      <c r="E10" s="21" t="s">
        <v>86</v>
      </c>
      <c r="F10" s="21" t="s">
        <v>87</v>
      </c>
      <c r="G10" s="22"/>
    </row>
    <row r="11" spans="1:11" x14ac:dyDescent="0.25">
      <c r="B11" s="8" t="s">
        <v>88</v>
      </c>
      <c r="C11" s="23">
        <v>20</v>
      </c>
      <c r="D11" s="23">
        <v>20</v>
      </c>
      <c r="E11" s="23">
        <v>20</v>
      </c>
      <c r="F11" s="23">
        <v>20</v>
      </c>
    </row>
    <row r="13" spans="1:11" x14ac:dyDescent="0.25">
      <c r="A13" s="24"/>
      <c r="B13" s="14" t="s">
        <v>89</v>
      </c>
      <c r="C13" s="15"/>
      <c r="D13" s="16"/>
      <c r="E13" s="16"/>
      <c r="F13" s="16"/>
    </row>
    <row r="14" spans="1:11" x14ac:dyDescent="0.25">
      <c r="B14" s="25" t="s">
        <v>90</v>
      </c>
      <c r="C14" s="26">
        <f>$C$5</f>
        <v>7.28</v>
      </c>
      <c r="D14" s="26">
        <f>$C$6</f>
        <v>7.52</v>
      </c>
      <c r="E14" s="26">
        <f>$C$6</f>
        <v>7.52</v>
      </c>
      <c r="F14" s="26">
        <f>$C$6</f>
        <v>7.52</v>
      </c>
      <c r="G14" s="27"/>
    </row>
    <row r="15" spans="1:11" ht="24" x14ac:dyDescent="0.25">
      <c r="B15" s="8" t="s">
        <v>91</v>
      </c>
      <c r="C15" s="28">
        <v>4.2</v>
      </c>
      <c r="D15" s="28">
        <v>4</v>
      </c>
      <c r="E15" s="28">
        <v>3.13</v>
      </c>
      <c r="F15" s="28">
        <v>2.86</v>
      </c>
      <c r="G15" s="7" t="s">
        <v>92</v>
      </c>
    </row>
    <row r="16" spans="1:11" x14ac:dyDescent="0.25">
      <c r="B16" s="29" t="s">
        <v>93</v>
      </c>
      <c r="C16" s="30">
        <f>C14/C15</f>
        <v>1.7333333333333334</v>
      </c>
      <c r="D16" s="30">
        <f>D14/D15</f>
        <v>1.88</v>
      </c>
      <c r="E16" s="30">
        <f>E14/E15</f>
        <v>2.4025559105431311</v>
      </c>
      <c r="F16" s="30">
        <f>F14/F15</f>
        <v>2.6293706293706292</v>
      </c>
      <c r="G16" s="7"/>
    </row>
    <row r="17" spans="1:7" x14ac:dyDescent="0.25">
      <c r="B17" s="29"/>
      <c r="C17" s="31"/>
      <c r="D17" s="31"/>
      <c r="E17" s="31"/>
      <c r="F17" s="31"/>
      <c r="G17" s="7"/>
    </row>
    <row r="18" spans="1:7" x14ac:dyDescent="0.25">
      <c r="B18" s="25" t="s">
        <v>94</v>
      </c>
      <c r="C18" s="32"/>
      <c r="D18" s="33"/>
      <c r="E18" s="33"/>
      <c r="F18" s="33"/>
      <c r="G18" s="7"/>
    </row>
    <row r="19" spans="1:7" x14ac:dyDescent="0.25">
      <c r="B19" s="29" t="s">
        <v>95</v>
      </c>
      <c r="C19" s="34">
        <f>C16*0.06</f>
        <v>0.104</v>
      </c>
      <c r="D19" s="34">
        <f>D16*0.06</f>
        <v>0.11279999999999998</v>
      </c>
      <c r="E19" s="34">
        <f>E16*0.06</f>
        <v>0.14415335463258785</v>
      </c>
      <c r="F19" s="34">
        <f>F16*0.06</f>
        <v>0.15776223776223774</v>
      </c>
      <c r="G19" s="7" t="s">
        <v>92</v>
      </c>
    </row>
    <row r="20" spans="1:7" x14ac:dyDescent="0.25">
      <c r="B20" s="29"/>
      <c r="C20" s="35"/>
      <c r="D20" s="35"/>
      <c r="E20" s="35"/>
      <c r="F20" s="35"/>
      <c r="G20" s="7"/>
    </row>
    <row r="21" spans="1:7" x14ac:dyDescent="0.25">
      <c r="B21" s="25" t="s">
        <v>96</v>
      </c>
      <c r="C21" s="36"/>
      <c r="D21" s="33"/>
      <c r="E21" s="33"/>
      <c r="F21" s="33"/>
      <c r="G21" s="7"/>
    </row>
    <row r="22" spans="1:7" x14ac:dyDescent="0.25">
      <c r="B22" s="8" t="s">
        <v>97</v>
      </c>
      <c r="C22" s="37">
        <v>348.83</v>
      </c>
      <c r="D22" s="37">
        <v>417.64</v>
      </c>
      <c r="E22" s="37">
        <v>821.95</v>
      </c>
      <c r="F22" s="37">
        <v>1717.93</v>
      </c>
      <c r="G22" s="7" t="s">
        <v>92</v>
      </c>
    </row>
    <row r="23" spans="1:7" x14ac:dyDescent="0.25">
      <c r="B23" s="8" t="s">
        <v>98</v>
      </c>
      <c r="C23" s="9">
        <v>4</v>
      </c>
      <c r="D23" s="9">
        <v>4</v>
      </c>
      <c r="E23" s="9">
        <v>6</v>
      </c>
      <c r="F23" s="9">
        <v>6</v>
      </c>
      <c r="G23" s="7" t="s">
        <v>92</v>
      </c>
    </row>
    <row r="24" spans="1:7" x14ac:dyDescent="0.25">
      <c r="B24" s="8" t="s">
        <v>99</v>
      </c>
      <c r="C24" s="38">
        <f>C22*C23</f>
        <v>1395.32</v>
      </c>
      <c r="D24" s="38">
        <f>D22*D23</f>
        <v>1670.56</v>
      </c>
      <c r="E24" s="38">
        <f>E22*E23</f>
        <v>4931.7000000000007</v>
      </c>
      <c r="F24" s="38">
        <f>F22*F23</f>
        <v>10307.58</v>
      </c>
      <c r="G24" s="7"/>
    </row>
    <row r="25" spans="1:7" x14ac:dyDescent="0.25">
      <c r="B25" s="8" t="s">
        <v>100</v>
      </c>
      <c r="C25" s="9">
        <v>45500</v>
      </c>
      <c r="D25" s="9">
        <v>45500</v>
      </c>
      <c r="E25" s="9">
        <v>67500</v>
      </c>
      <c r="F25" s="9">
        <v>67500</v>
      </c>
      <c r="G25" s="7" t="s">
        <v>92</v>
      </c>
    </row>
    <row r="26" spans="1:7" ht="24" x14ac:dyDescent="0.25">
      <c r="B26" s="29" t="s">
        <v>101</v>
      </c>
      <c r="C26" s="34">
        <f>C24/C25</f>
        <v>3.0666373626373623E-2</v>
      </c>
      <c r="D26" s="34">
        <f>D24/D25</f>
        <v>3.6715604395604395E-2</v>
      </c>
      <c r="E26" s="34">
        <f>E24/E25</f>
        <v>7.3062222222222237E-2</v>
      </c>
      <c r="F26" s="34">
        <f>F24/F25</f>
        <v>0.15270488888888889</v>
      </c>
      <c r="G26" s="7"/>
    </row>
    <row r="27" spans="1:7" x14ac:dyDescent="0.25">
      <c r="B27" s="29"/>
      <c r="C27" s="35"/>
      <c r="D27" s="35"/>
      <c r="E27" s="35"/>
      <c r="F27" s="35"/>
      <c r="G27" s="7"/>
    </row>
    <row r="28" spans="1:7" ht="24" x14ac:dyDescent="0.25">
      <c r="B28" s="25" t="s">
        <v>102</v>
      </c>
      <c r="C28" s="33"/>
      <c r="D28" s="33"/>
      <c r="E28" s="33"/>
      <c r="F28" s="33"/>
      <c r="G28" s="7" t="s">
        <v>92</v>
      </c>
    </row>
    <row r="29" spans="1:7" x14ac:dyDescent="0.25">
      <c r="B29" s="8" t="s">
        <v>103</v>
      </c>
      <c r="C29" s="9">
        <v>3.0000000000000001E-6</v>
      </c>
      <c r="D29" s="9">
        <v>3.0000000000000001E-6</v>
      </c>
      <c r="E29" s="9">
        <v>3.0000000000000001E-6</v>
      </c>
      <c r="F29" s="9">
        <v>3.0000000000000001E-6</v>
      </c>
      <c r="G29" s="7" t="s">
        <v>92</v>
      </c>
    </row>
    <row r="30" spans="1:7" ht="15.75" customHeight="1" x14ac:dyDescent="0.25">
      <c r="B30" s="39" t="s">
        <v>104</v>
      </c>
      <c r="C30" s="34">
        <f>C29*C36</f>
        <v>0.113472</v>
      </c>
      <c r="D30" s="34">
        <f>D29*D36</f>
        <v>0.24532500000000002</v>
      </c>
      <c r="E30" s="34">
        <f>E29*E36</f>
        <v>0.25392300000000001</v>
      </c>
      <c r="F30" s="34">
        <f>F29*F36</f>
        <v>0.35395799999999999</v>
      </c>
      <c r="G30" s="7"/>
    </row>
    <row r="31" spans="1:7" x14ac:dyDescent="0.25">
      <c r="B31" s="39"/>
      <c r="C31" s="35"/>
      <c r="D31" s="35"/>
      <c r="E31" s="35"/>
      <c r="F31" s="35"/>
      <c r="G31" s="7"/>
    </row>
    <row r="32" spans="1:7" x14ac:dyDescent="0.25">
      <c r="A32" s="40"/>
      <c r="B32" s="41" t="s">
        <v>105</v>
      </c>
      <c r="C32" s="34">
        <f>C30+C26+C19+C16</f>
        <v>1.981471706959707</v>
      </c>
      <c r="D32" s="34">
        <f>D30+D26+D19+D16</f>
        <v>2.2748406043956044</v>
      </c>
      <c r="E32" s="34">
        <f>E30+E26+E19+E16</f>
        <v>2.8736944873979411</v>
      </c>
      <c r="F32" s="34">
        <f>F30+F26+F19+F16</f>
        <v>3.2937957560217557</v>
      </c>
      <c r="G32" s="40"/>
    </row>
    <row r="33" spans="1:16" x14ac:dyDescent="0.25">
      <c r="B33" s="29"/>
      <c r="C33" s="37"/>
      <c r="D33" s="37"/>
      <c r="E33" s="37"/>
      <c r="F33" s="37"/>
      <c r="G33" s="7"/>
    </row>
    <row r="34" spans="1:16" x14ac:dyDescent="0.25">
      <c r="A34" s="24"/>
      <c r="B34" s="14" t="s">
        <v>106</v>
      </c>
      <c r="C34" s="42"/>
      <c r="D34" s="16"/>
      <c r="E34" s="16"/>
      <c r="F34" s="16"/>
      <c r="G34" s="7"/>
    </row>
    <row r="35" spans="1:16" x14ac:dyDescent="0.25">
      <c r="B35" s="25" t="s">
        <v>107</v>
      </c>
      <c r="C35" s="33"/>
      <c r="D35" s="33"/>
      <c r="E35" s="33"/>
      <c r="F35" s="33"/>
      <c r="G35" s="7"/>
    </row>
    <row r="36" spans="1:16" ht="24" x14ac:dyDescent="0.25">
      <c r="B36" s="8" t="s">
        <v>108</v>
      </c>
      <c r="C36" s="37">
        <v>37824</v>
      </c>
      <c r="D36" s="37">
        <v>81775</v>
      </c>
      <c r="E36" s="37">
        <v>84641</v>
      </c>
      <c r="F36" s="37">
        <v>117986</v>
      </c>
      <c r="G36" s="7" t="s">
        <v>92</v>
      </c>
    </row>
    <row r="37" spans="1:16" x14ac:dyDescent="0.25">
      <c r="B37" s="8" t="s">
        <v>109</v>
      </c>
      <c r="C37" s="9">
        <v>20</v>
      </c>
      <c r="D37" s="9">
        <v>20</v>
      </c>
      <c r="E37" s="9">
        <v>15</v>
      </c>
      <c r="F37" s="9">
        <v>15</v>
      </c>
      <c r="G37" s="7" t="s">
        <v>110</v>
      </c>
    </row>
    <row r="38" spans="1:16" x14ac:dyDescent="0.25">
      <c r="B38" s="8" t="s">
        <v>111</v>
      </c>
      <c r="C38" s="38">
        <f>C36*C37/100</f>
        <v>7564.8</v>
      </c>
      <c r="D38" s="38">
        <f>D36*D37/100</f>
        <v>16355</v>
      </c>
      <c r="E38" s="38">
        <f>E36*E37/100</f>
        <v>12696.15</v>
      </c>
      <c r="F38" s="38">
        <f>F36*F37/100</f>
        <v>17697.900000000001</v>
      </c>
      <c r="G38" s="7"/>
    </row>
    <row r="39" spans="1:16" x14ac:dyDescent="0.25">
      <c r="B39" s="8" t="s">
        <v>112</v>
      </c>
      <c r="C39" s="23">
        <f>$C$3</f>
        <v>10</v>
      </c>
      <c r="D39" s="23">
        <f>$C$3</f>
        <v>10</v>
      </c>
      <c r="E39" s="23">
        <f>$C$3</f>
        <v>10</v>
      </c>
      <c r="F39" s="23">
        <f>$C$3</f>
        <v>10</v>
      </c>
      <c r="G39" s="7"/>
    </row>
    <row r="40" spans="1:16" x14ac:dyDescent="0.25">
      <c r="B40" s="8" t="s">
        <v>113</v>
      </c>
      <c r="C40" s="38">
        <f>C38/C39</f>
        <v>756.48</v>
      </c>
      <c r="D40" s="38">
        <f>D38/D39</f>
        <v>1635.5</v>
      </c>
      <c r="E40" s="38">
        <f>E38/E39</f>
        <v>1269.615</v>
      </c>
      <c r="F40" s="38">
        <f>F38/F39</f>
        <v>1769.7900000000002</v>
      </c>
      <c r="G40" s="7"/>
    </row>
    <row r="41" spans="1:16" x14ac:dyDescent="0.25">
      <c r="B41" s="8" t="s">
        <v>114</v>
      </c>
      <c r="C41" s="23">
        <f>C9*C11</f>
        <v>2000</v>
      </c>
      <c r="D41" s="23">
        <f>D9*D11</f>
        <v>2000</v>
      </c>
      <c r="E41" s="23">
        <f>E9*E11</f>
        <v>2000</v>
      </c>
      <c r="F41" s="23">
        <f>F9*F11</f>
        <v>2000</v>
      </c>
      <c r="G41" s="7"/>
    </row>
    <row r="42" spans="1:16" x14ac:dyDescent="0.25">
      <c r="B42" s="29" t="s">
        <v>115</v>
      </c>
      <c r="C42" s="34">
        <f>C40/C41</f>
        <v>0.37824000000000002</v>
      </c>
      <c r="D42" s="34">
        <f>D40/D41</f>
        <v>0.81774999999999998</v>
      </c>
      <c r="E42" s="34">
        <f>E40/E41</f>
        <v>0.63480749999999997</v>
      </c>
      <c r="F42" s="34">
        <f>F40/F41</f>
        <v>0.8848950000000001</v>
      </c>
      <c r="G42" s="7"/>
    </row>
    <row r="43" spans="1:16" x14ac:dyDescent="0.25">
      <c r="B43" s="29"/>
      <c r="C43" s="35"/>
      <c r="D43" s="35"/>
      <c r="E43" s="35"/>
      <c r="F43" s="35"/>
      <c r="G43" s="7"/>
    </row>
    <row r="44" spans="1:16" x14ac:dyDescent="0.25">
      <c r="B44" s="25" t="s">
        <v>116</v>
      </c>
      <c r="C44" s="33"/>
      <c r="D44" s="33"/>
      <c r="E44" s="33"/>
      <c r="F44" s="33"/>
      <c r="G44" s="7" t="s">
        <v>117</v>
      </c>
    </row>
    <row r="45" spans="1:16" x14ac:dyDescent="0.25">
      <c r="B45" s="8" t="s">
        <v>118</v>
      </c>
      <c r="C45" s="43">
        <v>6676.24</v>
      </c>
      <c r="D45" s="43">
        <v>6676.24</v>
      </c>
      <c r="E45" s="43">
        <v>6676.24</v>
      </c>
      <c r="F45" s="43">
        <v>6676.24</v>
      </c>
    </row>
    <row r="46" spans="1:16" x14ac:dyDescent="0.25">
      <c r="B46" s="8" t="s">
        <v>119</v>
      </c>
      <c r="C46" s="38">
        <f>C45/220</f>
        <v>30.346545454545453</v>
      </c>
      <c r="D46" s="38">
        <f>D45/220</f>
        <v>30.346545454545453</v>
      </c>
      <c r="E46" s="38">
        <f>E45/220</f>
        <v>30.346545454545453</v>
      </c>
      <c r="F46" s="38">
        <f>F45/220</f>
        <v>30.346545454545453</v>
      </c>
      <c r="G46" s="7"/>
    </row>
    <row r="47" spans="1:16" x14ac:dyDescent="0.25">
      <c r="B47" s="103" t="s">
        <v>120</v>
      </c>
      <c r="C47" s="38">
        <f>C46*6</f>
        <v>182.07927272727272</v>
      </c>
      <c r="D47" s="38">
        <f>D46*6</f>
        <v>182.07927272727272</v>
      </c>
      <c r="E47" s="38">
        <f>E46*6</f>
        <v>182.07927272727272</v>
      </c>
      <c r="F47" s="38">
        <f>F46*6</f>
        <v>182.07927272727272</v>
      </c>
      <c r="G47" s="7"/>
    </row>
    <row r="48" spans="1:16" ht="24" x14ac:dyDescent="0.25">
      <c r="B48" s="29" t="s">
        <v>121</v>
      </c>
      <c r="C48" s="34">
        <f>C47/C9</f>
        <v>1.8207927272727273</v>
      </c>
      <c r="D48" s="34">
        <f>D47/D9</f>
        <v>1.8207927272727273</v>
      </c>
      <c r="E48" s="34">
        <f>E47/E9</f>
        <v>1.8207927272727273</v>
      </c>
      <c r="F48" s="34">
        <f>F47/F9</f>
        <v>1.8207927272727273</v>
      </c>
      <c r="G48" s="7"/>
      <c r="P48" s="44"/>
    </row>
    <row r="49" spans="1:7" x14ac:dyDescent="0.25">
      <c r="C49" s="37"/>
      <c r="D49" s="37"/>
      <c r="E49" s="37"/>
      <c r="F49" s="37"/>
      <c r="G49" s="7"/>
    </row>
    <row r="50" spans="1:7" ht="15" customHeight="1" x14ac:dyDescent="0.25">
      <c r="A50" s="40"/>
      <c r="B50" s="4" t="s">
        <v>122</v>
      </c>
      <c r="C50" s="4"/>
      <c r="D50" s="4"/>
      <c r="E50" s="4"/>
      <c r="F50" s="4"/>
      <c r="G50" s="7"/>
    </row>
    <row r="51" spans="1:7" x14ac:dyDescent="0.25">
      <c r="B51" s="8" t="s">
        <v>123</v>
      </c>
      <c r="C51" s="38">
        <f>C36</f>
        <v>37824</v>
      </c>
      <c r="D51" s="38">
        <f>D36</f>
        <v>81775</v>
      </c>
      <c r="E51" s="38">
        <f>E36</f>
        <v>84641</v>
      </c>
      <c r="F51" s="38">
        <f>F36</f>
        <v>117986</v>
      </c>
      <c r="G51" s="7"/>
    </row>
    <row r="52" spans="1:7" ht="15.75" customHeight="1" x14ac:dyDescent="0.25">
      <c r="B52" s="8" t="s">
        <v>124</v>
      </c>
      <c r="C52" s="45">
        <f>C51*2%</f>
        <v>756.48</v>
      </c>
      <c r="D52" s="45">
        <f>D51*2%</f>
        <v>1635.5</v>
      </c>
      <c r="E52" s="45">
        <f>E51*2%</f>
        <v>1692.82</v>
      </c>
      <c r="F52" s="45">
        <f>F51*2%</f>
        <v>2359.7200000000003</v>
      </c>
      <c r="G52" s="7" t="s">
        <v>125</v>
      </c>
    </row>
    <row r="53" spans="1:7" x14ac:dyDescent="0.25">
      <c r="B53" s="8" t="s">
        <v>126</v>
      </c>
      <c r="C53" s="46">
        <v>90</v>
      </c>
      <c r="D53" s="46">
        <v>90</v>
      </c>
      <c r="E53" s="46">
        <v>90</v>
      </c>
      <c r="F53" s="46">
        <v>90</v>
      </c>
      <c r="G53" s="7" t="s">
        <v>127</v>
      </c>
    </row>
    <row r="54" spans="1:7" x14ac:dyDescent="0.25">
      <c r="B54" s="8" t="s">
        <v>128</v>
      </c>
      <c r="C54" s="46">
        <v>2275</v>
      </c>
      <c r="D54" s="46">
        <v>1732.03</v>
      </c>
      <c r="E54" s="46">
        <v>1674.96</v>
      </c>
      <c r="F54" s="46">
        <v>2582.29</v>
      </c>
      <c r="G54" s="7" t="s">
        <v>92</v>
      </c>
    </row>
    <row r="55" spans="1:7" x14ac:dyDescent="0.25">
      <c r="B55" s="8" t="s">
        <v>129</v>
      </c>
      <c r="C55" s="46">
        <v>120</v>
      </c>
      <c r="D55" s="46">
        <v>120</v>
      </c>
      <c r="E55" s="46">
        <v>120</v>
      </c>
      <c r="F55" s="46">
        <v>120</v>
      </c>
      <c r="G55" s="7" t="s">
        <v>127</v>
      </c>
    </row>
    <row r="56" spans="1:7" x14ac:dyDescent="0.25">
      <c r="B56" s="8" t="s">
        <v>130</v>
      </c>
      <c r="C56" s="46">
        <v>0</v>
      </c>
      <c r="D56" s="46">
        <v>0</v>
      </c>
      <c r="E56" s="46">
        <v>0</v>
      </c>
      <c r="F56" s="46">
        <v>0</v>
      </c>
      <c r="G56" s="7"/>
    </row>
    <row r="57" spans="1:7" x14ac:dyDescent="0.25">
      <c r="B57" s="29" t="s">
        <v>131</v>
      </c>
      <c r="C57" s="47">
        <f>(C52+C53+C54+C55)/C41</f>
        <v>1.6207400000000001</v>
      </c>
      <c r="D57" s="47">
        <f>(D52+D53+D54+D55)/D41</f>
        <v>1.7887649999999999</v>
      </c>
      <c r="E57" s="47">
        <f>(E52+E53+E54+E55)/E41</f>
        <v>1.7888899999999999</v>
      </c>
      <c r="F57" s="47">
        <f>(F52+F53+F54+F55)/F41</f>
        <v>2.5760050000000003</v>
      </c>
      <c r="G57" s="7"/>
    </row>
    <row r="58" spans="1:7" x14ac:dyDescent="0.25">
      <c r="C58" s="46"/>
      <c r="D58" s="46"/>
      <c r="E58" s="46"/>
      <c r="F58" s="46"/>
      <c r="G58" s="7"/>
    </row>
    <row r="59" spans="1:7" x14ac:dyDescent="0.25">
      <c r="B59" s="41" t="s">
        <v>132</v>
      </c>
      <c r="C59" s="47">
        <f>C57+C48+C42</f>
        <v>3.8197727272727273</v>
      </c>
      <c r="D59" s="47">
        <f>D57+D48+D42</f>
        <v>4.4273077272727273</v>
      </c>
      <c r="E59" s="47">
        <f>E57+E48+E42</f>
        <v>4.2444902272727276</v>
      </c>
      <c r="F59" s="47">
        <f>F57+F48+F42</f>
        <v>5.2816927272727279</v>
      </c>
      <c r="G59" s="7"/>
    </row>
    <row r="60" spans="1:7" x14ac:dyDescent="0.25">
      <c r="A60" s="40"/>
      <c r="B60" s="29"/>
      <c r="C60" s="48"/>
      <c r="D60" s="48"/>
      <c r="E60" s="48"/>
      <c r="F60" s="48"/>
      <c r="G60" s="7"/>
    </row>
    <row r="61" spans="1:7" x14ac:dyDescent="0.25">
      <c r="A61" s="40"/>
      <c r="B61" s="49" t="s">
        <v>133</v>
      </c>
      <c r="C61" s="50">
        <f>C59+C32</f>
        <v>5.8012444342324345</v>
      </c>
      <c r="D61" s="50">
        <f>D59+D32</f>
        <v>6.7021483316683312</v>
      </c>
      <c r="E61" s="50">
        <f>E59+E32</f>
        <v>7.1181847146706687</v>
      </c>
      <c r="F61" s="50">
        <f>F59+F32</f>
        <v>8.5754884832944835</v>
      </c>
      <c r="G61" s="7"/>
    </row>
    <row r="62" spans="1:7" x14ac:dyDescent="0.25">
      <c r="C62" s="51"/>
      <c r="D62" s="51"/>
      <c r="E62" s="51"/>
      <c r="F62" s="51"/>
      <c r="G62" s="7"/>
    </row>
    <row r="63" spans="1:7" ht="15" customHeight="1" x14ac:dyDescent="0.25">
      <c r="A63" s="40"/>
      <c r="B63" s="3" t="s">
        <v>134</v>
      </c>
      <c r="C63" s="3"/>
      <c r="D63" s="3"/>
      <c r="E63" s="3"/>
      <c r="F63" s="3"/>
      <c r="G63" s="7" t="s">
        <v>92</v>
      </c>
    </row>
    <row r="64" spans="1:7" x14ac:dyDescent="0.25">
      <c r="B64" s="2" t="s">
        <v>135</v>
      </c>
      <c r="C64" s="52">
        <v>0.05</v>
      </c>
      <c r="D64" s="52">
        <v>0.05</v>
      </c>
      <c r="E64" s="52">
        <v>0.05</v>
      </c>
      <c r="F64" s="52">
        <v>0.05</v>
      </c>
      <c r="G64" s="7"/>
    </row>
    <row r="65" spans="1:7" x14ac:dyDescent="0.25">
      <c r="B65" s="2"/>
      <c r="C65" s="53">
        <f>C61*C64</f>
        <v>0.29006222171162171</v>
      </c>
      <c r="D65" s="53">
        <f>D61*D64</f>
        <v>0.33510741658341658</v>
      </c>
      <c r="E65" s="53">
        <f>E61*E64</f>
        <v>0.35590923573353345</v>
      </c>
      <c r="F65" s="53">
        <f>F61*F64</f>
        <v>0.42877442416472422</v>
      </c>
      <c r="G65" s="7"/>
    </row>
    <row r="66" spans="1:7" x14ac:dyDescent="0.25">
      <c r="B66" s="2" t="s">
        <v>136</v>
      </c>
      <c r="C66" s="52">
        <v>7.1999999999999995E-2</v>
      </c>
      <c r="D66" s="52">
        <v>7.1999999999999995E-2</v>
      </c>
      <c r="E66" s="52">
        <v>7.1999999999999995E-2</v>
      </c>
      <c r="F66" s="52">
        <v>7.1999999999999995E-2</v>
      </c>
      <c r="G66" s="7"/>
    </row>
    <row r="67" spans="1:7" x14ac:dyDescent="0.25">
      <c r="B67" s="2"/>
      <c r="C67" s="53">
        <f>C61*C66</f>
        <v>0.41768959926473526</v>
      </c>
      <c r="D67" s="53">
        <f>D61*D66</f>
        <v>0.4825546798801198</v>
      </c>
      <c r="E67" s="53">
        <f>E61*E66</f>
        <v>0.51250929945628809</v>
      </c>
      <c r="F67" s="53">
        <f>F61*F66</f>
        <v>0.61743517079720278</v>
      </c>
      <c r="G67" s="7"/>
    </row>
    <row r="68" spans="1:7" x14ac:dyDescent="0.25">
      <c r="B68" s="2" t="s">
        <v>137</v>
      </c>
      <c r="C68" s="52">
        <v>3.6499999999999998E-2</v>
      </c>
      <c r="D68" s="52">
        <v>3.6499999999999998E-2</v>
      </c>
      <c r="E68" s="52">
        <v>3.6499999999999998E-2</v>
      </c>
      <c r="F68" s="52">
        <v>3.6499999999999998E-2</v>
      </c>
      <c r="G68" s="7"/>
    </row>
    <row r="69" spans="1:7" x14ac:dyDescent="0.25">
      <c r="B69" s="2"/>
      <c r="C69" s="53">
        <f>C61*C68</f>
        <v>0.21174542184948383</v>
      </c>
      <c r="D69" s="53">
        <f>D61*D68</f>
        <v>0.24462841410589409</v>
      </c>
      <c r="E69" s="53">
        <f>E61*E68</f>
        <v>0.25981374208547942</v>
      </c>
      <c r="F69" s="53">
        <f>F61*F68</f>
        <v>0.31300532964024863</v>
      </c>
      <c r="G69" s="7"/>
    </row>
    <row r="70" spans="1:7" x14ac:dyDescent="0.25">
      <c r="B70" s="2" t="s">
        <v>138</v>
      </c>
      <c r="C70" s="52">
        <v>0.05</v>
      </c>
      <c r="D70" s="52">
        <v>0.05</v>
      </c>
      <c r="E70" s="52">
        <v>0.05</v>
      </c>
      <c r="F70" s="52">
        <v>0.05</v>
      </c>
      <c r="G70" s="7"/>
    </row>
    <row r="71" spans="1:7" x14ac:dyDescent="0.25">
      <c r="B71" s="2"/>
      <c r="C71" s="53">
        <f>C61*C70</f>
        <v>0.29006222171162171</v>
      </c>
      <c r="D71" s="53">
        <f>D61*D70</f>
        <v>0.33510741658341658</v>
      </c>
      <c r="E71" s="53">
        <f>E61*E70</f>
        <v>0.35590923573353345</v>
      </c>
      <c r="F71" s="53">
        <f>F61*F70</f>
        <v>0.42877442416472422</v>
      </c>
      <c r="G71" s="7"/>
    </row>
    <row r="72" spans="1:7" ht="15" customHeight="1" x14ac:dyDescent="0.25">
      <c r="B72" s="1" t="s">
        <v>139</v>
      </c>
      <c r="C72" s="52">
        <v>0</v>
      </c>
      <c r="D72" s="52">
        <v>0</v>
      </c>
      <c r="E72" s="52">
        <v>0</v>
      </c>
      <c r="F72" s="52">
        <v>0</v>
      </c>
      <c r="G72" s="7"/>
    </row>
    <row r="73" spans="1:7" ht="24" customHeight="1" x14ac:dyDescent="0.25">
      <c r="B73" s="1"/>
      <c r="C73" s="54">
        <v>0</v>
      </c>
      <c r="D73" s="54">
        <v>1</v>
      </c>
      <c r="E73" s="54">
        <v>2</v>
      </c>
      <c r="F73" s="54">
        <v>3</v>
      </c>
      <c r="G73" s="7"/>
    </row>
    <row r="74" spans="1:7" x14ac:dyDescent="0.25">
      <c r="B74" s="55" t="s">
        <v>140</v>
      </c>
      <c r="C74" s="56">
        <f>SUM(C65,C67,C69,C71,C73)</f>
        <v>1.2095594645374625</v>
      </c>
      <c r="D74" s="56">
        <f>SUM(D65,D67,D69,D71,D73)</f>
        <v>2.3973979271528472</v>
      </c>
      <c r="E74" s="56">
        <f>SUM(E65,E67,E69,E71,E73)</f>
        <v>3.4841415130088342</v>
      </c>
      <c r="F74" s="56">
        <f>SUM(F65,F67,F69,F71,F73)</f>
        <v>4.7879893487668994</v>
      </c>
      <c r="G74" s="7"/>
    </row>
    <row r="76" spans="1:7" s="20" customFormat="1" x14ac:dyDescent="0.25">
      <c r="A76" s="17"/>
      <c r="B76" s="57"/>
      <c r="C76" s="56"/>
      <c r="D76" s="56"/>
      <c r="E76" s="56"/>
      <c r="F76" s="56"/>
      <c r="G76" s="17"/>
    </row>
    <row r="77" spans="1:7" ht="15" customHeight="1" x14ac:dyDescent="0.25">
      <c r="A77" s="57"/>
      <c r="B77" s="72" t="s">
        <v>141</v>
      </c>
      <c r="C77" s="58">
        <f>C74+C61</f>
        <v>7.0108038987698968</v>
      </c>
      <c r="D77" s="58">
        <f>D74+D61</f>
        <v>9.099546258821178</v>
      </c>
      <c r="E77" s="58">
        <f>E74+E61</f>
        <v>10.602326227679503</v>
      </c>
      <c r="F77" s="58">
        <f>F74+F61</f>
        <v>13.363477832061383</v>
      </c>
      <c r="G77" s="7"/>
    </row>
    <row r="78" spans="1:7" x14ac:dyDescent="0.25">
      <c r="B78" s="72"/>
      <c r="C78" s="19" t="str">
        <f>C10</f>
        <v>MINIVAN</v>
      </c>
      <c r="D78" s="19" t="str">
        <f>D10</f>
        <v>VAN</v>
      </c>
      <c r="E78" s="19" t="str">
        <f>E10</f>
        <v>MICROONIBUS</v>
      </c>
      <c r="F78" s="19" t="str">
        <f>F10</f>
        <v>ONIBUS</v>
      </c>
    </row>
    <row r="79" spans="1:7" ht="24" x14ac:dyDescent="0.25">
      <c r="B79" s="8" t="s">
        <v>153</v>
      </c>
      <c r="C79" s="59">
        <f>IF(C8="NÃO",1.35,1)*C77</f>
        <v>9.4645852633393606</v>
      </c>
      <c r="D79" s="60">
        <f>IF(D8="NÃO",1.35,1)*D77</f>
        <v>12.284387449408591</v>
      </c>
      <c r="E79" s="60">
        <f>IF(E8="NÃO",1.35,1)*E77</f>
        <v>14.31314040736733</v>
      </c>
      <c r="F79" s="60">
        <f>IF(F8="NÃO",1.35,1)*F77</f>
        <v>18.040695073282869</v>
      </c>
      <c r="G79" s="9" t="s">
        <v>92</v>
      </c>
    </row>
  </sheetData>
  <mergeCells count="13">
    <mergeCell ref="B70:B71"/>
    <mergeCell ref="B72:B73"/>
    <mergeCell ref="B77:B78"/>
    <mergeCell ref="B50:F50"/>
    <mergeCell ref="B63:F63"/>
    <mergeCell ref="B64:B65"/>
    <mergeCell ref="B66:B67"/>
    <mergeCell ref="B68:B69"/>
    <mergeCell ref="B1:F2"/>
    <mergeCell ref="C3:F3"/>
    <mergeCell ref="C4:F4"/>
    <mergeCell ref="C5:F5"/>
    <mergeCell ref="C6:F6"/>
  </mergeCells>
  <pageMargins left="0.25" right="0.25" top="0.75" bottom="0.75" header="0.511811023622047" footer="0.511811023622047"/>
  <pageSetup paperSize="9" scale="98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42578125" style="83" customWidth="1"/>
    <col min="3" max="3" width="15.7109375" style="61" customWidth="1"/>
    <col min="4" max="4" width="0" hidden="1" customWidth="1"/>
    <col min="5" max="5" width="18.7109375" hidden="1" customWidth="1"/>
    <col min="6" max="6" width="0" hidden="1" customWidth="1"/>
    <col min="7" max="7" width="8.85546875" hidden="1" customWidth="1"/>
    <col min="8" max="10" width="0" hidden="1" customWidth="1"/>
  </cols>
  <sheetData>
    <row r="1" spans="1:5" x14ac:dyDescent="0.25">
      <c r="B1" s="6" t="s">
        <v>154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11.470509359999999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64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4" x14ac:dyDescent="0.25">
      <c r="B33" s="85"/>
    </row>
    <row r="34" spans="1:4" x14ac:dyDescent="0.25">
      <c r="A34" s="24"/>
      <c r="B34" s="41" t="s">
        <v>106</v>
      </c>
      <c r="C34" s="64"/>
    </row>
    <row r="35" spans="1:4" x14ac:dyDescent="0.25">
      <c r="B35" s="84" t="s">
        <v>107</v>
      </c>
      <c r="C35" s="67"/>
    </row>
    <row r="36" spans="1:4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4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4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4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4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4" x14ac:dyDescent="0.25">
      <c r="B41" s="83" t="s">
        <v>114</v>
      </c>
      <c r="C41" s="61">
        <f>C9*C11</f>
        <v>1280</v>
      </c>
      <c r="D41" s="69"/>
    </row>
    <row r="42" spans="1:4" x14ac:dyDescent="0.25">
      <c r="B42" s="85" t="s">
        <v>115</v>
      </c>
      <c r="C42" s="62">
        <f>C40/C41</f>
        <v>0.59099999999999997</v>
      </c>
    </row>
    <row r="43" spans="1:4" x14ac:dyDescent="0.25">
      <c r="B43" s="85"/>
    </row>
    <row r="44" spans="1:4" x14ac:dyDescent="0.25">
      <c r="B44" s="84" t="s">
        <v>116</v>
      </c>
      <c r="C44" s="67"/>
    </row>
    <row r="45" spans="1:4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4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4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4" x14ac:dyDescent="0.25">
      <c r="B48" s="85" t="s">
        <v>121</v>
      </c>
      <c r="C48" s="62">
        <f>C47/C9</f>
        <v>2.8450000000000002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5.056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7.0359999999999996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0.3518</v>
      </c>
    </row>
    <row r="65" spans="1:3" x14ac:dyDescent="0.25">
      <c r="B65" s="90" t="s">
        <v>142</v>
      </c>
      <c r="C65" s="62">
        <f>C61*7.2%</f>
        <v>0.50659200000000004</v>
      </c>
    </row>
    <row r="66" spans="1:3" x14ac:dyDescent="0.25">
      <c r="B66" s="90" t="s">
        <v>137</v>
      </c>
      <c r="C66" s="62">
        <f>C61*3.56%</f>
        <v>0.25048159999999997</v>
      </c>
    </row>
    <row r="67" spans="1:3" x14ac:dyDescent="0.25">
      <c r="B67" s="90" t="s">
        <v>138</v>
      </c>
      <c r="C67" s="62">
        <f>C61*5%</f>
        <v>0.3518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1.4606735999999998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8.4966735999999994</v>
      </c>
    </row>
    <row r="72" spans="1:3" ht="26.25" customHeight="1" x14ac:dyDescent="0.25">
      <c r="B72" s="41" t="s">
        <v>148</v>
      </c>
      <c r="C72" s="71">
        <f>IF(C8="NÃO",1.35,1)*C71</f>
        <v>11.470509359999999</v>
      </c>
    </row>
    <row r="73" spans="1:3" x14ac:dyDescent="0.25">
      <c r="C73" s="62"/>
    </row>
    <row r="76" spans="1:3" x14ac:dyDescent="0.25">
      <c r="C76" s="80"/>
    </row>
    <row r="77" spans="1:3" x14ac:dyDescent="0.25">
      <c r="C77" s="80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6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7109375" style="83" customWidth="1"/>
    <col min="3" max="3" width="15.7109375" style="61" customWidth="1"/>
    <col min="4" max="4" width="0" hidden="1" customWidth="1"/>
    <col min="5" max="5" width="11.85546875" hidden="1" customWidth="1"/>
    <col min="6" max="6" width="0" hidden="1" customWidth="1"/>
  </cols>
  <sheetData>
    <row r="1" spans="1:5" x14ac:dyDescent="0.25">
      <c r="B1" s="6" t="s">
        <v>155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10.84811232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72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1440</v>
      </c>
    </row>
    <row r="42" spans="1:3" x14ac:dyDescent="0.25">
      <c r="B42" s="85" t="s">
        <v>115</v>
      </c>
      <c r="C42" s="62">
        <f>C40/C41</f>
        <v>0.52533333333333332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2.528888888888889</v>
      </c>
    </row>
    <row r="49" spans="1:9" x14ac:dyDescent="0.25">
      <c r="C49" s="62"/>
    </row>
    <row r="50" spans="1:9" x14ac:dyDescent="0.25">
      <c r="A50" s="40"/>
      <c r="B50" s="88" t="s">
        <v>122</v>
      </c>
      <c r="C50" s="62"/>
    </row>
    <row r="51" spans="1:9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9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9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9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9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9" x14ac:dyDescent="0.25">
      <c r="B56" s="83" t="s">
        <v>130</v>
      </c>
      <c r="C56" s="62">
        <v>0</v>
      </c>
    </row>
    <row r="57" spans="1:9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  <c r="I57" s="44"/>
    </row>
    <row r="58" spans="1:9" x14ac:dyDescent="0.25">
      <c r="C58" s="62"/>
    </row>
    <row r="59" spans="1:9" x14ac:dyDescent="0.25">
      <c r="B59" s="41" t="s">
        <v>132</v>
      </c>
      <c r="C59" s="68">
        <f>C57+C48+C42</f>
        <v>4.6742222222222223</v>
      </c>
    </row>
    <row r="60" spans="1:9" x14ac:dyDescent="0.25">
      <c r="A60" s="40"/>
      <c r="B60" s="85"/>
      <c r="C60" s="62"/>
    </row>
    <row r="61" spans="1:9" x14ac:dyDescent="0.25">
      <c r="A61" s="40"/>
      <c r="B61" s="89" t="s">
        <v>133</v>
      </c>
      <c r="C61" s="68">
        <f>C59+C32</f>
        <v>6.6542222222222218</v>
      </c>
    </row>
    <row r="62" spans="1:9" x14ac:dyDescent="0.25">
      <c r="C62" s="62"/>
    </row>
    <row r="63" spans="1:9" x14ac:dyDescent="0.25">
      <c r="A63" s="40"/>
      <c r="B63" s="41" t="s">
        <v>134</v>
      </c>
      <c r="C63" s="68"/>
    </row>
    <row r="64" spans="1:9" x14ac:dyDescent="0.25">
      <c r="B64" s="90" t="s">
        <v>135</v>
      </c>
      <c r="C64" s="62">
        <f>C61*5%</f>
        <v>0.33271111111111112</v>
      </c>
    </row>
    <row r="65" spans="1:3" x14ac:dyDescent="0.25">
      <c r="B65" s="90" t="s">
        <v>142</v>
      </c>
      <c r="C65" s="62">
        <f>C61*7.2%</f>
        <v>0.47910400000000003</v>
      </c>
    </row>
    <row r="66" spans="1:3" x14ac:dyDescent="0.25">
      <c r="B66" s="90" t="s">
        <v>137</v>
      </c>
      <c r="C66" s="62">
        <f>C61*3.56%</f>
        <v>0.23689031111111108</v>
      </c>
    </row>
    <row r="67" spans="1:3" x14ac:dyDescent="0.25">
      <c r="B67" s="90" t="s">
        <v>138</v>
      </c>
      <c r="C67" s="62">
        <f>C61*5%</f>
        <v>0.33271111111111112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1.3814165333333335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8.0356387555555546</v>
      </c>
    </row>
    <row r="72" spans="1:3" x14ac:dyDescent="0.25">
      <c r="B72" s="41" t="s">
        <v>148</v>
      </c>
      <c r="C72" s="71">
        <f>IF(C8="NÃO",1.35,1)*C71</f>
        <v>10.84811232</v>
      </c>
    </row>
    <row r="73" spans="1:3" x14ac:dyDescent="0.25">
      <c r="C73" s="62"/>
    </row>
    <row r="75" spans="1:3" x14ac:dyDescent="0.25">
      <c r="C75" s="80"/>
    </row>
    <row r="76" spans="1:3" x14ac:dyDescent="0.25">
      <c r="C76" s="80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7109375" style="83" customWidth="1"/>
    <col min="3" max="3" width="15.7109375" style="61" customWidth="1"/>
    <col min="4" max="4" width="0" hidden="1" customWidth="1"/>
    <col min="5" max="5" width="12.7109375" hidden="1" customWidth="1"/>
    <col min="6" max="8" width="0" hidden="1" customWidth="1"/>
  </cols>
  <sheetData>
    <row r="1" spans="1:5" x14ac:dyDescent="0.25">
      <c r="B1" s="6" t="s">
        <v>156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15.138059805000001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1.3629166666666668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6.1875833333333343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8.4575833333333339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0.42287916666666669</v>
      </c>
    </row>
    <row r="65" spans="1:3" x14ac:dyDescent="0.25">
      <c r="B65" s="90" t="s">
        <v>142</v>
      </c>
      <c r="C65" s="62">
        <f>C61*7.2%</f>
        <v>0.6089460000000001</v>
      </c>
    </row>
    <row r="66" spans="1:3" x14ac:dyDescent="0.25">
      <c r="B66" s="90" t="s">
        <v>137</v>
      </c>
      <c r="C66" s="62">
        <f>C61*3.56%</f>
        <v>0.30108996666666671</v>
      </c>
    </row>
    <row r="67" spans="1:3" x14ac:dyDescent="0.25">
      <c r="B67" s="90" t="s">
        <v>138</v>
      </c>
      <c r="C67" s="62">
        <f>C61*5%</f>
        <v>0.42287916666666669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2.7557942999999998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11.213377633333334</v>
      </c>
    </row>
    <row r="72" spans="1:3" x14ac:dyDescent="0.25">
      <c r="B72" s="41" t="s">
        <v>148</v>
      </c>
      <c r="C72" s="71">
        <f>IF(C8="NÃO",1.35,1)*C71</f>
        <v>15.138059805000001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710937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157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9.4539429504000001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100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2000</v>
      </c>
    </row>
    <row r="42" spans="1:3" x14ac:dyDescent="0.25">
      <c r="B42" s="85" t="s">
        <v>115</v>
      </c>
      <c r="C42" s="62">
        <f>C40/C41</f>
        <v>0.37824000000000002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1.8208000000000002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3.8190400000000002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5.7990399999999998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0.28995199999999999</v>
      </c>
    </row>
    <row r="65" spans="1:3" x14ac:dyDescent="0.25">
      <c r="B65" s="90" t="s">
        <v>142</v>
      </c>
      <c r="C65" s="62">
        <f>C61*7.2%</f>
        <v>0.41753088000000005</v>
      </c>
    </row>
    <row r="66" spans="1:3" x14ac:dyDescent="0.25">
      <c r="B66" s="90" t="s">
        <v>137</v>
      </c>
      <c r="C66" s="62">
        <f>C61*3.56%</f>
        <v>0.206445824</v>
      </c>
    </row>
    <row r="67" spans="1:3" x14ac:dyDescent="0.25">
      <c r="B67" s="90" t="s">
        <v>138</v>
      </c>
      <c r="C67" s="62">
        <f>C61*5%</f>
        <v>0.28995199999999999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1.2038807039999999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7.0029207039999992</v>
      </c>
    </row>
    <row r="72" spans="1:3" x14ac:dyDescent="0.25">
      <c r="B72" s="41" t="s">
        <v>148</v>
      </c>
      <c r="C72" s="71">
        <f>IF(C8="NÃO",1.35,1)*C71</f>
        <v>9.4539429504000001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0.8554687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158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17.625163520000001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20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400</v>
      </c>
    </row>
    <row r="42" spans="1:3" x14ac:dyDescent="0.25">
      <c r="B42" s="85" t="s">
        <v>115</v>
      </c>
      <c r="C42" s="62">
        <f>C40/C41</f>
        <v>1.8912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9.104000000000001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12.6152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14.5952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0.72976000000000008</v>
      </c>
    </row>
    <row r="65" spans="1:3" x14ac:dyDescent="0.25">
      <c r="B65" s="90" t="s">
        <v>142</v>
      </c>
      <c r="C65" s="62">
        <f>C61*7.2%</f>
        <v>1.0508544000000002</v>
      </c>
    </row>
    <row r="66" spans="1:3" x14ac:dyDescent="0.25">
      <c r="B66" s="90" t="s">
        <v>137</v>
      </c>
      <c r="C66" s="62">
        <f>C61*3.56%</f>
        <v>0.51958912000000002</v>
      </c>
    </row>
    <row r="67" spans="1:3" x14ac:dyDescent="0.25">
      <c r="B67" s="90" t="s">
        <v>138</v>
      </c>
      <c r="C67" s="62">
        <f>C61*5%</f>
        <v>0.72976000000000008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3.0299635200000004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17.625163520000001</v>
      </c>
    </row>
    <row r="72" spans="1:3" x14ac:dyDescent="0.25">
      <c r="B72" s="41" t="s">
        <v>149</v>
      </c>
      <c r="C72" s="71">
        <f>IF(C8="NÃO",1.35,1)*C71</f>
        <v>17.625163520000001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0.140625" style="83" customWidth="1"/>
    <col min="3" max="3" width="15.7109375" style="61" customWidth="1"/>
    <col min="4" max="4" width="0" hidden="1" customWidth="1"/>
    <col min="5" max="5" width="10.85546875" hidden="1" customWidth="1"/>
    <col min="6" max="7" width="0" hidden="1" customWidth="1"/>
  </cols>
  <sheetData>
    <row r="1" spans="1:5" x14ac:dyDescent="0.25">
      <c r="B1" s="6" t="s">
        <v>159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15.138059805000001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1.3629166666666668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6.1875833333333343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8.4575833333333339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0.42287916666666669</v>
      </c>
    </row>
    <row r="65" spans="1:3" x14ac:dyDescent="0.25">
      <c r="B65" s="90" t="s">
        <v>142</v>
      </c>
      <c r="C65" s="62">
        <f>C61*7.2%</f>
        <v>0.6089460000000001</v>
      </c>
    </row>
    <row r="66" spans="1:3" x14ac:dyDescent="0.25">
      <c r="B66" s="90" t="s">
        <v>137</v>
      </c>
      <c r="C66" s="62">
        <f>C61*3.56%</f>
        <v>0.30108996666666671</v>
      </c>
    </row>
    <row r="67" spans="1:3" x14ac:dyDescent="0.25">
      <c r="B67" s="90" t="s">
        <v>138</v>
      </c>
      <c r="C67" s="62">
        <f>C61*5%</f>
        <v>0.42287916666666669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2.7557942999999998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11.213377633333334</v>
      </c>
    </row>
    <row r="72" spans="1:3" x14ac:dyDescent="0.25">
      <c r="B72" s="41" t="s">
        <v>148</v>
      </c>
      <c r="C72" s="71">
        <f>IF(C8="NÃO",1.35,1)*C71</f>
        <v>15.138059805000001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5.5703125" style="83" customWidth="1"/>
    <col min="3" max="3" width="15.7109375" style="61" customWidth="1"/>
    <col min="4" max="8" width="0" style="92" hidden="1" customWidth="1"/>
  </cols>
  <sheetData>
    <row r="1" spans="1:5" x14ac:dyDescent="0.25">
      <c r="B1" s="6" t="s">
        <v>160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93">
        <f>C72</f>
        <v>11.843947584000002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0.63039999999999996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5.2850666666666672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7.2650666666666677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0.36325333333333343</v>
      </c>
    </row>
    <row r="65" spans="1:3" x14ac:dyDescent="0.25">
      <c r="B65" s="90" t="s">
        <v>142</v>
      </c>
      <c r="C65" s="62">
        <f>C61*7.2%</f>
        <v>0.52308480000000013</v>
      </c>
    </row>
    <row r="66" spans="1:3" x14ac:dyDescent="0.25">
      <c r="B66" s="90" t="s">
        <v>137</v>
      </c>
      <c r="C66" s="62">
        <f>C61*3.56%</f>
        <v>0.25863637333333339</v>
      </c>
    </row>
    <row r="67" spans="1:3" x14ac:dyDescent="0.25">
      <c r="B67" s="90" t="s">
        <v>138</v>
      </c>
      <c r="C67" s="62">
        <f>C61*5%</f>
        <v>0.36325333333333343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1.5082278400000004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8.7732945066666677</v>
      </c>
    </row>
    <row r="72" spans="1:3" x14ac:dyDescent="0.25">
      <c r="B72" s="41" t="s">
        <v>148</v>
      </c>
      <c r="C72" s="71">
        <f>IF(C8="NÃO",1.35,1)*C71</f>
        <v>11.843947584000002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73"/>
  <sheetViews>
    <sheetView zoomScaleNormal="100" workbookViewId="0">
      <selection activeCell="B3" sqref="B3"/>
    </sheetView>
  </sheetViews>
  <sheetFormatPr defaultColWidth="8.7109375" defaultRowHeight="15" x14ac:dyDescent="0.25"/>
  <cols>
    <col min="1" max="1" width="2.85546875" style="7" customWidth="1"/>
    <col min="2" max="2" width="75.5703125" style="83" customWidth="1"/>
    <col min="3" max="3" width="15.7109375" style="61" customWidth="1"/>
    <col min="4" max="4" width="0" hidden="1" customWidth="1"/>
    <col min="5" max="5" width="15.5703125" hidden="1" customWidth="1"/>
    <col min="6" max="7" width="0" hidden="1" customWidth="1"/>
  </cols>
  <sheetData>
    <row r="1" spans="1:5" x14ac:dyDescent="0.25">
      <c r="B1" s="6" t="s">
        <v>161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15.65014581964286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56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1120</v>
      </c>
    </row>
    <row r="42" spans="1:3" x14ac:dyDescent="0.25">
      <c r="B42" s="85" t="s">
        <v>115</v>
      </c>
      <c r="C42" s="62">
        <f>C40/C41</f>
        <v>1.4602678571428571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3.2514285714285718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6.5016964285714289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8.7716964285714294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0.43858482142857147</v>
      </c>
    </row>
    <row r="65" spans="1:3" x14ac:dyDescent="0.25">
      <c r="B65" s="90" t="s">
        <v>142</v>
      </c>
      <c r="C65" s="62">
        <f>C61*7.2%</f>
        <v>0.63156214285714296</v>
      </c>
    </row>
    <row r="66" spans="1:3" x14ac:dyDescent="0.25">
      <c r="B66" s="90" t="s">
        <v>137</v>
      </c>
      <c r="C66" s="62">
        <f>C61*3.56%</f>
        <v>0.31227239285714287</v>
      </c>
    </row>
    <row r="67" spans="1:3" x14ac:dyDescent="0.25">
      <c r="B67" s="90" t="s">
        <v>138</v>
      </c>
      <c r="C67" s="62">
        <f>C61*5%</f>
        <v>0.43858482142857147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2.821004178571429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11.592700607142859</v>
      </c>
    </row>
    <row r="72" spans="1:3" x14ac:dyDescent="0.25">
      <c r="B72" s="41" t="s">
        <v>148</v>
      </c>
      <c r="C72" s="71">
        <f>IF(C8="NÃO",1.35,1)*C71</f>
        <v>15.65014581964286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73"/>
  <sheetViews>
    <sheetView zoomScaleNormal="100" workbookViewId="0">
      <selection activeCell="B3" sqref="B3"/>
    </sheetView>
  </sheetViews>
  <sheetFormatPr defaultColWidth="8.7109375" defaultRowHeight="15" x14ac:dyDescent="0.25"/>
  <cols>
    <col min="1" max="1" width="2.85546875" style="7" customWidth="1"/>
    <col min="2" max="2" width="67.140625" style="83" customWidth="1"/>
    <col min="3" max="3" width="15.7109375" style="61" customWidth="1"/>
    <col min="4" max="4" width="0" hidden="1" customWidth="1"/>
    <col min="5" max="5" width="9.5703125" hidden="1" customWidth="1"/>
    <col min="6" max="8" width="0" hidden="1" customWidth="1"/>
  </cols>
  <sheetData>
    <row r="1" spans="1:5" x14ac:dyDescent="0.25">
      <c r="B1" s="6" t="s">
        <v>162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18.210575892857143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42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840</v>
      </c>
    </row>
    <row r="42" spans="1:3" x14ac:dyDescent="0.25">
      <c r="B42" s="85" t="s">
        <v>115</v>
      </c>
      <c r="C42" s="62">
        <f>C40/C41</f>
        <v>1.9470238095238095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4.3352380952380951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8.0722619047619055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10.342261904761905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0.51711309523809523</v>
      </c>
    </row>
    <row r="65" spans="1:3" x14ac:dyDescent="0.25">
      <c r="B65" s="90" t="s">
        <v>142</v>
      </c>
      <c r="C65" s="62">
        <f>C61*7.2%</f>
        <v>0.74464285714285727</v>
      </c>
    </row>
    <row r="66" spans="1:3" x14ac:dyDescent="0.25">
      <c r="B66" s="90" t="s">
        <v>137</v>
      </c>
      <c r="C66" s="62">
        <f>C61*3.56%</f>
        <v>0.36818452380952382</v>
      </c>
    </row>
    <row r="67" spans="1:3" x14ac:dyDescent="0.25">
      <c r="B67" s="90" t="s">
        <v>138</v>
      </c>
      <c r="C67" s="62">
        <f>C61*5%</f>
        <v>0.51711309523809523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3.1470535714285717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13.489315476190477</v>
      </c>
    </row>
    <row r="72" spans="1:3" x14ac:dyDescent="0.25">
      <c r="B72" s="41" t="s">
        <v>148</v>
      </c>
      <c r="C72" s="71">
        <f>IF(C8="NÃO",1.35,1)*C71</f>
        <v>18.210575892857143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9.85546875" style="83" customWidth="1"/>
    <col min="3" max="3" width="15.7109375" style="61" customWidth="1"/>
    <col min="4" max="4" width="0" hidden="1" customWidth="1"/>
    <col min="5" max="5" width="9.5703125" hidden="1" customWidth="1"/>
    <col min="6" max="7" width="0" hidden="1" customWidth="1"/>
  </cols>
  <sheetData>
    <row r="1" spans="1:5" x14ac:dyDescent="0.25">
      <c r="B1" s="6" t="s">
        <v>163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10.798804628289474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152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3040</v>
      </c>
    </row>
    <row r="42" spans="1:3" x14ac:dyDescent="0.25">
      <c r="B42" s="85" t="s">
        <v>115</v>
      </c>
      <c r="C42" s="62">
        <f>C40/C41</f>
        <v>0.53799342105263159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1.1978947368421053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3.525888157894737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5.795888157894737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0.28979440789473687</v>
      </c>
    </row>
    <row r="65" spans="1:3" x14ac:dyDescent="0.25">
      <c r="B65" s="90" t="s">
        <v>142</v>
      </c>
      <c r="C65" s="62">
        <f>C61*7.2%</f>
        <v>0.41730394736842114</v>
      </c>
    </row>
    <row r="66" spans="1:3" x14ac:dyDescent="0.25">
      <c r="B66" s="90" t="s">
        <v>137</v>
      </c>
      <c r="C66" s="62">
        <f>C61*3.56%</f>
        <v>0.20633361842105263</v>
      </c>
    </row>
    <row r="67" spans="1:3" x14ac:dyDescent="0.25">
      <c r="B67" s="90" t="s">
        <v>138</v>
      </c>
      <c r="C67" s="62">
        <f>C61*5%</f>
        <v>0.28979440789473687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2.2032263815789475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7.999114539473684</v>
      </c>
    </row>
    <row r="72" spans="1:3" x14ac:dyDescent="0.25">
      <c r="B72" s="41" t="s">
        <v>148</v>
      </c>
      <c r="C72" s="71">
        <f>IF(C8="NÃO",1.35,1)*C71</f>
        <v>10.798804628289474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85546875" style="83" customWidth="1"/>
    <col min="3" max="3" width="15.7109375" style="61" customWidth="1"/>
    <col min="4" max="4" width="0" hidden="1" customWidth="1"/>
    <col min="5" max="5" width="9.5703125" hidden="1" customWidth="1"/>
    <col min="6" max="8" width="0" hidden="1" customWidth="1"/>
  </cols>
  <sheetData>
    <row r="1" spans="1:5" x14ac:dyDescent="0.25">
      <c r="B1" s="6" t="s">
        <v>164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14.404666834285713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42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840</v>
      </c>
    </row>
    <row r="42" spans="1:3" x14ac:dyDescent="0.25">
      <c r="B42" s="85" t="s">
        <v>115</v>
      </c>
      <c r="C42" s="62">
        <f>C40/C41</f>
        <v>0.90057142857142858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4.3352380952380951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6.8558095238095236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8.8358095238095231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0.44179047619047618</v>
      </c>
    </row>
    <row r="65" spans="1:3" x14ac:dyDescent="0.25">
      <c r="B65" s="90" t="s">
        <v>142</v>
      </c>
      <c r="C65" s="62">
        <f>C61*7.2%</f>
        <v>0.6361782857142857</v>
      </c>
    </row>
    <row r="66" spans="1:3" x14ac:dyDescent="0.25">
      <c r="B66" s="90" t="s">
        <v>137</v>
      </c>
      <c r="C66" s="62">
        <f>C61*3.56%</f>
        <v>0.31455481904761901</v>
      </c>
    </row>
    <row r="67" spans="1:3" x14ac:dyDescent="0.25">
      <c r="B67" s="90" t="s">
        <v>138</v>
      </c>
      <c r="C67" s="62">
        <f>C61*5%</f>
        <v>0.44179047619047618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1.8343140571428571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10.67012358095238</v>
      </c>
    </row>
    <row r="72" spans="1:3" x14ac:dyDescent="0.25">
      <c r="B72" s="41" t="s">
        <v>148</v>
      </c>
      <c r="C72" s="71">
        <f>IF(C8="NÃO",1.35,1)*C71</f>
        <v>14.404666834285713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5.85546875" style="83" customWidth="1"/>
    <col min="3" max="3" width="15.7109375" style="61" customWidth="1"/>
    <col min="4" max="4" width="0" hidden="1" customWidth="1"/>
    <col min="5" max="5" width="11.140625" hidden="1" customWidth="1"/>
    <col min="6" max="7" width="0" hidden="1" customWidth="1"/>
  </cols>
  <sheetData>
    <row r="1" spans="1:5" x14ac:dyDescent="0.25">
      <c r="B1" s="6" t="s">
        <v>165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13.089715746428572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84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1680</v>
      </c>
    </row>
    <row r="42" spans="1:3" x14ac:dyDescent="0.25">
      <c r="B42" s="85" t="s">
        <v>115</v>
      </c>
      <c r="C42" s="62">
        <f>C40/C41</f>
        <v>0.97351190476190474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2.1676190476190476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4.9311309523809523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7.2011309523809519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0.3600565476190476</v>
      </c>
    </row>
    <row r="65" spans="1:3" x14ac:dyDescent="0.25">
      <c r="B65" s="90" t="s">
        <v>142</v>
      </c>
      <c r="C65" s="62">
        <f>C61*7.2%</f>
        <v>0.51848142857142865</v>
      </c>
    </row>
    <row r="66" spans="1:3" x14ac:dyDescent="0.25">
      <c r="B66" s="90" t="s">
        <v>137</v>
      </c>
      <c r="C66" s="62">
        <f>C61*3.56%</f>
        <v>0.25636026190476191</v>
      </c>
    </row>
    <row r="67" spans="1:3" x14ac:dyDescent="0.25">
      <c r="B67" s="90" t="s">
        <v>138</v>
      </c>
      <c r="C67" s="62">
        <f>C61*5%</f>
        <v>0.3600565476190476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2.4949547857142855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9.6960857380952383</v>
      </c>
    </row>
    <row r="72" spans="1:3" x14ac:dyDescent="0.25">
      <c r="B72" s="41" t="s">
        <v>148</v>
      </c>
      <c r="C72" s="71">
        <f>IF(C8="NÃO",1.35,1)*C71</f>
        <v>13.089715746428572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6.4257812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166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8.8564417920000018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120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2400</v>
      </c>
    </row>
    <row r="42" spans="1:3" x14ac:dyDescent="0.25">
      <c r="B42" s="85" t="s">
        <v>115</v>
      </c>
      <c r="C42" s="62">
        <f>C40/C41</f>
        <v>0.31519999999999998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1.5173333333333334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3.4525333333333332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5.4325333333333337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0.27162666666666668</v>
      </c>
    </row>
    <row r="65" spans="1:3" x14ac:dyDescent="0.25">
      <c r="B65" s="90" t="s">
        <v>142</v>
      </c>
      <c r="C65" s="62">
        <f>C61*7.2%</f>
        <v>0.39114240000000006</v>
      </c>
    </row>
    <row r="66" spans="1:3" x14ac:dyDescent="0.25">
      <c r="B66" s="90" t="s">
        <v>137</v>
      </c>
      <c r="C66" s="62">
        <f>C61*3.56%</f>
        <v>0.19339818666666667</v>
      </c>
    </row>
    <row r="67" spans="1:3" x14ac:dyDescent="0.25">
      <c r="B67" s="90" t="s">
        <v>138</v>
      </c>
      <c r="C67" s="62">
        <f>C61*5%</f>
        <v>0.27162666666666668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1.1277939200000002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6.5603272533333339</v>
      </c>
    </row>
    <row r="72" spans="1:3" x14ac:dyDescent="0.25">
      <c r="B72" s="41" t="s">
        <v>148</v>
      </c>
      <c r="C72" s="71">
        <f>IF(C8="NÃO",1.35,1)*C71</f>
        <v>8.8564417920000018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73"/>
  <sheetViews>
    <sheetView zoomScaleNormal="100" workbookViewId="0">
      <selection activeCell="B3" sqref="B3"/>
    </sheetView>
  </sheetViews>
  <sheetFormatPr defaultColWidth="8.7109375" defaultRowHeight="15" x14ac:dyDescent="0.25"/>
  <cols>
    <col min="1" max="1" width="2.85546875" style="7" customWidth="1"/>
    <col min="2" max="2" width="75.8554687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167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14.831453376000001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40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800</v>
      </c>
    </row>
    <row r="42" spans="1:3" x14ac:dyDescent="0.25">
      <c r="B42" s="85" t="s">
        <v>115</v>
      </c>
      <c r="C42" s="62">
        <f>C40/C41</f>
        <v>0.9456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4.5520000000000005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7.1176000000000004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9.0975999999999999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0.45488000000000001</v>
      </c>
    </row>
    <row r="65" spans="1:3" x14ac:dyDescent="0.25">
      <c r="B65" s="90" t="s">
        <v>142</v>
      </c>
      <c r="C65" s="62">
        <f>C61*7.2%</f>
        <v>0.65502720000000003</v>
      </c>
    </row>
    <row r="66" spans="1:3" x14ac:dyDescent="0.25">
      <c r="B66" s="90" t="s">
        <v>137</v>
      </c>
      <c r="C66" s="62">
        <f>C61*3.56%</f>
        <v>0.32387455999999998</v>
      </c>
    </row>
    <row r="67" spans="1:3" x14ac:dyDescent="0.25">
      <c r="B67" s="90" t="s">
        <v>138</v>
      </c>
      <c r="C67" s="62">
        <f>C61*5%</f>
        <v>0.45488000000000001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1.88866176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10.98626176</v>
      </c>
    </row>
    <row r="72" spans="1:3" x14ac:dyDescent="0.25">
      <c r="B72" s="41" t="s">
        <v>148</v>
      </c>
      <c r="C72" s="71">
        <f>IF(C8="NÃO",1.35,1)*C71</f>
        <v>14.831453376000001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73"/>
  <sheetViews>
    <sheetView topLeftCell="A4" zoomScaleNormal="100" workbookViewId="0">
      <selection activeCell="B3" sqref="B3"/>
    </sheetView>
  </sheetViews>
  <sheetFormatPr defaultColWidth="8.7109375" defaultRowHeight="15" x14ac:dyDescent="0.25"/>
  <cols>
    <col min="1" max="1" width="2.85546875" style="7" customWidth="1"/>
    <col min="2" max="2" width="75.7109375" style="83" customWidth="1"/>
    <col min="3" max="3" width="15.7109375" style="61" customWidth="1"/>
    <col min="4" max="4" width="0" hidden="1" customWidth="1"/>
    <col min="5" max="5" width="9.5703125" hidden="1" customWidth="1"/>
    <col min="6" max="8" width="0" hidden="1" customWidth="1"/>
  </cols>
  <sheetData>
    <row r="1" spans="1:5" x14ac:dyDescent="0.25">
      <c r="B1" s="6" t="s">
        <v>168</v>
      </c>
      <c r="C1" s="6"/>
    </row>
    <row r="2" spans="1:5" x14ac:dyDescent="0.25">
      <c r="B2" s="6"/>
      <c r="C2" s="6"/>
    </row>
    <row r="3" spans="1:5" x14ac:dyDescent="0.25">
      <c r="B3" s="81"/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15.385273743103451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58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1160</v>
      </c>
    </row>
    <row r="42" spans="1:3" x14ac:dyDescent="0.25">
      <c r="B42" s="85" t="s">
        <v>115</v>
      </c>
      <c r="C42" s="62">
        <f>C40/C41</f>
        <v>1.4099137931034482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3.1393103448275865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6.3392241379310343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8.6092241379310348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0.43046120689655176</v>
      </c>
    </row>
    <row r="65" spans="1:3" x14ac:dyDescent="0.25">
      <c r="B65" s="90" t="s">
        <v>142</v>
      </c>
      <c r="C65" s="62">
        <f>C61*7.2%</f>
        <v>0.61986413793103456</v>
      </c>
    </row>
    <row r="66" spans="1:3" x14ac:dyDescent="0.25">
      <c r="B66" s="90" t="s">
        <v>137</v>
      </c>
      <c r="C66" s="62">
        <f>C61*3.56%</f>
        <v>0.30648837931034484</v>
      </c>
    </row>
    <row r="67" spans="1:3" x14ac:dyDescent="0.25">
      <c r="B67" s="90" t="s">
        <v>138</v>
      </c>
      <c r="C67" s="62">
        <f>C61*5%</f>
        <v>0.43046120689655176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2.7872749310344829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11.396499068965518</v>
      </c>
    </row>
    <row r="72" spans="1:3" x14ac:dyDescent="0.25">
      <c r="B72" s="41" t="s">
        <v>148</v>
      </c>
      <c r="C72" s="71">
        <f>IF(C8="NÃO",1.35,1)*C71</f>
        <v>15.385273743103451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73"/>
  <sheetViews>
    <sheetView zoomScaleNormal="100" workbookViewId="0">
      <selection activeCell="I27" sqref="I27"/>
    </sheetView>
  </sheetViews>
  <sheetFormatPr defaultColWidth="8.7109375" defaultRowHeight="15" x14ac:dyDescent="0.25"/>
  <cols>
    <col min="1" max="1" width="2.85546875" style="7" customWidth="1"/>
    <col min="2" max="2" width="74.28515625" style="83" customWidth="1"/>
    <col min="3" max="3" width="15.7109375" style="61" customWidth="1"/>
    <col min="4" max="7" width="0" hidden="1" customWidth="1"/>
  </cols>
  <sheetData>
    <row r="1" spans="1:5" x14ac:dyDescent="0.25">
      <c r="B1" s="6" t="s">
        <v>169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10.84811232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72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1440</v>
      </c>
    </row>
    <row r="42" spans="1:3" x14ac:dyDescent="0.25">
      <c r="B42" s="85" t="s">
        <v>115</v>
      </c>
      <c r="C42" s="62">
        <f>C40/C41</f>
        <v>0.52533333333333332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2.528888888888889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4.6742222222222223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6.6542222222222218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0.33271111111111112</v>
      </c>
    </row>
    <row r="65" spans="1:3" x14ac:dyDescent="0.25">
      <c r="B65" s="90" t="s">
        <v>142</v>
      </c>
      <c r="C65" s="62">
        <f>C61*7.2%</f>
        <v>0.47910400000000003</v>
      </c>
    </row>
    <row r="66" spans="1:3" x14ac:dyDescent="0.25">
      <c r="B66" s="90" t="s">
        <v>137</v>
      </c>
      <c r="C66" s="62">
        <f>C61*3.56%</f>
        <v>0.23689031111111108</v>
      </c>
    </row>
    <row r="67" spans="1:3" x14ac:dyDescent="0.25">
      <c r="B67" s="90" t="s">
        <v>138</v>
      </c>
      <c r="C67" s="62">
        <f>C61*5%</f>
        <v>0.33271111111111112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1.3814165333333335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8.0356387555555546</v>
      </c>
    </row>
    <row r="72" spans="1:3" x14ac:dyDescent="0.25">
      <c r="B72" s="41" t="s">
        <v>148</v>
      </c>
      <c r="C72" s="71">
        <f>IF(C8="NÃO",1.35,1)*C71</f>
        <v>10.84811232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73"/>
  <sheetViews>
    <sheetView zoomScaleNormal="100" workbookViewId="0">
      <selection activeCell="N18" sqref="N18:N19"/>
    </sheetView>
  </sheetViews>
  <sheetFormatPr defaultColWidth="8.7109375" defaultRowHeight="15" x14ac:dyDescent="0.25"/>
  <cols>
    <col min="1" max="1" width="2.85546875" style="7" customWidth="1"/>
    <col min="2" max="2" width="68.425781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170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14.831453376000001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40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800</v>
      </c>
    </row>
    <row r="42" spans="1:3" x14ac:dyDescent="0.25">
      <c r="B42" s="85" t="s">
        <v>115</v>
      </c>
      <c r="C42" s="62">
        <f>C40/C41</f>
        <v>0.9456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4.5520000000000005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7.1176000000000004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9.0975999999999999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0.45488000000000001</v>
      </c>
    </row>
    <row r="65" spans="1:3" x14ac:dyDescent="0.25">
      <c r="B65" s="90" t="s">
        <v>142</v>
      </c>
      <c r="C65" s="62">
        <f>C61*7.2%</f>
        <v>0.65502720000000003</v>
      </c>
    </row>
    <row r="66" spans="1:3" x14ac:dyDescent="0.25">
      <c r="B66" s="90" t="s">
        <v>137</v>
      </c>
      <c r="C66" s="62">
        <f>C61*3.56%</f>
        <v>0.32387455999999998</v>
      </c>
    </row>
    <row r="67" spans="1:3" x14ac:dyDescent="0.25">
      <c r="B67" s="90" t="s">
        <v>138</v>
      </c>
      <c r="C67" s="62">
        <f>C61*5%</f>
        <v>0.45488000000000001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1.88866176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10.98626176</v>
      </c>
    </row>
    <row r="72" spans="1:3" x14ac:dyDescent="0.25">
      <c r="B72" s="41" t="s">
        <v>148</v>
      </c>
      <c r="C72" s="71">
        <f>IF(C8="NÃO",1.35,1)*C71</f>
        <v>14.831453376000001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7.85546875" style="83" customWidth="1"/>
    <col min="3" max="3" width="15.7109375" style="61" customWidth="1"/>
    <col min="4" max="6" width="0" hidden="1" customWidth="1"/>
  </cols>
  <sheetData>
    <row r="1" spans="1:5" x14ac:dyDescent="0.25">
      <c r="B1" s="6" t="s">
        <v>171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10.350194688000002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80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1600</v>
      </c>
    </row>
    <row r="42" spans="1:3" x14ac:dyDescent="0.25">
      <c r="B42" s="85" t="s">
        <v>115</v>
      </c>
      <c r="C42" s="62">
        <f>C40/C41</f>
        <v>0.4728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2.2760000000000002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4.3688000000000002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6.3488000000000007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0.31744000000000006</v>
      </c>
    </row>
    <row r="65" spans="1:3" x14ac:dyDescent="0.25">
      <c r="B65" s="90" t="s">
        <v>142</v>
      </c>
      <c r="C65" s="62">
        <f>C61*7.2%</f>
        <v>0.45711360000000012</v>
      </c>
    </row>
    <row r="66" spans="1:3" x14ac:dyDescent="0.25">
      <c r="B66" s="90" t="s">
        <v>137</v>
      </c>
      <c r="C66" s="62">
        <f>C61*3.56%</f>
        <v>0.22601728000000001</v>
      </c>
    </row>
    <row r="67" spans="1:3" x14ac:dyDescent="0.25">
      <c r="B67" s="90" t="s">
        <v>138</v>
      </c>
      <c r="C67" s="62">
        <f>C61*5%</f>
        <v>0.31744000000000006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1.3180108800000001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7.6668108800000008</v>
      </c>
    </row>
    <row r="72" spans="1:3" x14ac:dyDescent="0.25">
      <c r="B72" s="41" t="s">
        <v>148</v>
      </c>
      <c r="C72" s="71">
        <f>IF(C8="NÃO",1.35,1)*C71</f>
        <v>10.350194688000002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3.57031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172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12.644423559782611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92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1840</v>
      </c>
    </row>
    <row r="42" spans="1:3" x14ac:dyDescent="0.25">
      <c r="B42" s="85" t="s">
        <v>115</v>
      </c>
      <c r="C42" s="62">
        <f>C40/C41</f>
        <v>0.8888586956521739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1.9791304347826089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4.6579891304347827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6.9279891304347831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0.3463994565217392</v>
      </c>
    </row>
    <row r="65" spans="1:3" x14ac:dyDescent="0.25">
      <c r="B65" s="90" t="s">
        <v>142</v>
      </c>
      <c r="C65" s="62">
        <f>C61*7.2%</f>
        <v>0.49881521739130447</v>
      </c>
    </row>
    <row r="66" spans="1:3" x14ac:dyDescent="0.25">
      <c r="B66" s="90" t="s">
        <v>137</v>
      </c>
      <c r="C66" s="62">
        <f>C61*3.56%</f>
        <v>0.24663641304347828</v>
      </c>
    </row>
    <row r="67" spans="1:3" x14ac:dyDescent="0.25">
      <c r="B67" s="90" t="s">
        <v>138</v>
      </c>
      <c r="C67" s="62">
        <f>C61*5%</f>
        <v>0.3463994565217392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2.4382505434782615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9.3662396739130447</v>
      </c>
    </row>
    <row r="72" spans="1:3" x14ac:dyDescent="0.25">
      <c r="B72" s="41" t="s">
        <v>148</v>
      </c>
      <c r="C72" s="71">
        <f>IF(C8="NÃO",1.35,1)*C71</f>
        <v>12.644423559782611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E73"/>
  <sheetViews>
    <sheetView zoomScaleNormal="100" workbookViewId="0">
      <selection activeCell="B3" sqref="B3"/>
    </sheetView>
  </sheetViews>
  <sheetFormatPr defaultColWidth="8.7109375" defaultRowHeight="15" x14ac:dyDescent="0.25"/>
  <cols>
    <col min="1" max="1" width="2.85546875" style="7" customWidth="1"/>
    <col min="2" max="2" width="70.1406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37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11.843947584000002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0.63039999999999996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5.2850666666666672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7.2650666666666677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0.36325333333333343</v>
      </c>
    </row>
    <row r="65" spans="1:3" x14ac:dyDescent="0.25">
      <c r="B65" s="90" t="s">
        <v>142</v>
      </c>
      <c r="C65" s="62">
        <f>C61*7.2%</f>
        <v>0.52308480000000013</v>
      </c>
    </row>
    <row r="66" spans="1:3" x14ac:dyDescent="0.25">
      <c r="B66" s="90" t="s">
        <v>137</v>
      </c>
      <c r="C66" s="62">
        <f>C61*3.56%</f>
        <v>0.25863637333333339</v>
      </c>
    </row>
    <row r="67" spans="1:3" x14ac:dyDescent="0.25">
      <c r="B67" s="90" t="s">
        <v>138</v>
      </c>
      <c r="C67" s="62">
        <f>C61*5%</f>
        <v>0.36325333333333343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1.5082278400000004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8.7732945066666677</v>
      </c>
    </row>
    <row r="72" spans="1:3" x14ac:dyDescent="0.25">
      <c r="B72" s="41" t="s">
        <v>148</v>
      </c>
      <c r="C72" s="71">
        <f>IF(C8="NÃO",1.35,1)*C71</f>
        <v>11.843947584000002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83.4257812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39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23.793970752000003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20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400</v>
      </c>
    </row>
    <row r="42" spans="1:3" x14ac:dyDescent="0.25">
      <c r="B42" s="85" t="s">
        <v>115</v>
      </c>
      <c r="C42" s="62">
        <f>C40/C41</f>
        <v>1.8912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9.104000000000001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12.6152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14.5952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0.72976000000000008</v>
      </c>
    </row>
    <row r="65" spans="1:3" x14ac:dyDescent="0.25">
      <c r="B65" s="90" t="s">
        <v>142</v>
      </c>
      <c r="C65" s="62">
        <f>C61*7.2%</f>
        <v>1.0508544000000002</v>
      </c>
    </row>
    <row r="66" spans="1:3" x14ac:dyDescent="0.25">
      <c r="B66" s="90" t="s">
        <v>137</v>
      </c>
      <c r="C66" s="62">
        <f>C61*3.56%</f>
        <v>0.51958912000000002</v>
      </c>
    </row>
    <row r="67" spans="1:3" x14ac:dyDescent="0.25">
      <c r="B67" s="90" t="s">
        <v>138</v>
      </c>
      <c r="C67" s="62">
        <f>C61*5%</f>
        <v>0.72976000000000008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3.0299635200000004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17.625163520000001</v>
      </c>
    </row>
    <row r="72" spans="1:3" x14ac:dyDescent="0.25">
      <c r="B72" s="41" t="s">
        <v>148</v>
      </c>
      <c r="C72" s="71">
        <f>IF(C8="NÃO",1.35,1)*C71</f>
        <v>23.793970752000003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81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39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14.831453376000001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40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800</v>
      </c>
    </row>
    <row r="42" spans="1:3" x14ac:dyDescent="0.25">
      <c r="B42" s="85" t="s">
        <v>115</v>
      </c>
      <c r="C42" s="62">
        <f>C40/C41</f>
        <v>0.9456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4.5520000000000005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7.1176000000000004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9.0975999999999999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0.45488000000000001</v>
      </c>
    </row>
    <row r="65" spans="1:3" x14ac:dyDescent="0.25">
      <c r="B65" s="90" t="s">
        <v>142</v>
      </c>
      <c r="C65" s="62">
        <f>C61*7.2%</f>
        <v>0.65502720000000003</v>
      </c>
    </row>
    <row r="66" spans="1:3" x14ac:dyDescent="0.25">
      <c r="B66" s="90" t="s">
        <v>137</v>
      </c>
      <c r="C66" s="62">
        <f>C61*3.56%</f>
        <v>0.32387455999999998</v>
      </c>
    </row>
    <row r="67" spans="1:3" x14ac:dyDescent="0.25">
      <c r="B67" s="90" t="s">
        <v>138</v>
      </c>
      <c r="C67" s="62">
        <f>C61*5%</f>
        <v>0.45488000000000001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1.88866176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10.98626176</v>
      </c>
    </row>
    <row r="72" spans="1:3" x14ac:dyDescent="0.25">
      <c r="B72" s="41" t="s">
        <v>148</v>
      </c>
      <c r="C72" s="71">
        <f>IF(C8="NÃO",1.35,1)*C71</f>
        <v>14.831453376000001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4.8554687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44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28.275229440000004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16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320</v>
      </c>
    </row>
    <row r="42" spans="1:3" x14ac:dyDescent="0.25">
      <c r="B42" s="85" t="s">
        <v>115</v>
      </c>
      <c r="C42" s="62">
        <f>C40/C41</f>
        <v>2.3639999999999999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11.38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15.364000000000001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17.344000000000001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0.86720000000000008</v>
      </c>
    </row>
    <row r="65" spans="1:3" x14ac:dyDescent="0.25">
      <c r="B65" s="90" t="s">
        <v>142</v>
      </c>
      <c r="C65" s="62">
        <f>C61*7.2%</f>
        <v>1.2487680000000003</v>
      </c>
    </row>
    <row r="66" spans="1:3" x14ac:dyDescent="0.25">
      <c r="B66" s="90" t="s">
        <v>137</v>
      </c>
      <c r="C66" s="62">
        <f>C61*3.56%</f>
        <v>0.61744640000000006</v>
      </c>
    </row>
    <row r="67" spans="1:3" x14ac:dyDescent="0.25">
      <c r="B67" s="90" t="s">
        <v>138</v>
      </c>
      <c r="C67" s="62">
        <f>C61*5%</f>
        <v>0.86720000000000008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3.6006144000000004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20.944614400000003</v>
      </c>
    </row>
    <row r="72" spans="1:3" x14ac:dyDescent="0.25">
      <c r="B72" s="41" t="s">
        <v>148</v>
      </c>
      <c r="C72" s="71">
        <f>IF(C8="NÃO",1.35,1)*C71</f>
        <v>28.275229440000004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0.7109375" style="83" customWidth="1"/>
    <col min="3" max="3" width="15.7109375" style="61" customWidth="1"/>
    <col min="4" max="7" width="0" hidden="1" customWidth="1"/>
  </cols>
  <sheetData>
    <row r="1" spans="1:5" x14ac:dyDescent="0.25">
      <c r="B1" s="6" t="s">
        <v>47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19.100475022222223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18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360</v>
      </c>
    </row>
    <row r="42" spans="1:3" x14ac:dyDescent="0.25">
      <c r="B42" s="85" t="s">
        <v>115</v>
      </c>
      <c r="C42" s="62">
        <f>C40/C41</f>
        <v>2.1013333333333333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10.115555555555556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13.83688888888889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15.81688888888889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0.79084444444444457</v>
      </c>
    </row>
    <row r="65" spans="1:3" x14ac:dyDescent="0.25">
      <c r="B65" s="90" t="s">
        <v>142</v>
      </c>
      <c r="C65" s="62">
        <f>C61*7.2%</f>
        <v>1.1388160000000003</v>
      </c>
    </row>
    <row r="66" spans="1:3" x14ac:dyDescent="0.25">
      <c r="B66" s="90" t="s">
        <v>137</v>
      </c>
      <c r="C66" s="62">
        <f>C61*3.56%</f>
        <v>0.56308124444444452</v>
      </c>
    </row>
    <row r="67" spans="1:3" x14ac:dyDescent="0.25">
      <c r="B67" s="90" t="s">
        <v>138</v>
      </c>
      <c r="C67" s="62">
        <f>C61*5%</f>
        <v>0.79084444444444457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3.2835861333333343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19.100475022222223</v>
      </c>
    </row>
    <row r="72" spans="1:3" x14ac:dyDescent="0.25">
      <c r="B72" s="41" t="s">
        <v>149</v>
      </c>
      <c r="C72" s="71">
        <f>IF(C8="NÃO",1.35,1)*C71</f>
        <v>19.100475022222223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6.85546875" style="83" customWidth="1"/>
    <col min="3" max="3" width="15.7109375" style="61" customWidth="1"/>
    <col min="4" max="4" width="0" hidden="1" customWidth="1"/>
    <col min="5" max="5" width="9.5703125" hidden="1" customWidth="1"/>
    <col min="6" max="8" width="0" hidden="1" customWidth="1"/>
  </cols>
  <sheetData>
    <row r="1" spans="1:5" x14ac:dyDescent="0.25">
      <c r="B1" s="6" t="s">
        <v>49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11.843947584000002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0.63039999999999996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5.2850666666666672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7.2650666666666677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0.36325333333333343</v>
      </c>
    </row>
    <row r="65" spans="1:3" x14ac:dyDescent="0.25">
      <c r="B65" s="90" t="s">
        <v>142</v>
      </c>
      <c r="C65" s="62">
        <f>C61*7.2%</f>
        <v>0.52308480000000013</v>
      </c>
    </row>
    <row r="66" spans="1:3" x14ac:dyDescent="0.25">
      <c r="B66" s="90" t="s">
        <v>137</v>
      </c>
      <c r="C66" s="62">
        <f>C61*3.56%</f>
        <v>0.25863637333333339</v>
      </c>
    </row>
    <row r="67" spans="1:3" x14ac:dyDescent="0.25">
      <c r="B67" s="90" t="s">
        <v>138</v>
      </c>
      <c r="C67" s="62">
        <f>C61*5%</f>
        <v>0.36325333333333343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1.5082278400000004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8.7732945066666677</v>
      </c>
    </row>
    <row r="72" spans="1:3" x14ac:dyDescent="0.25">
      <c r="B72" s="41" t="s">
        <v>148</v>
      </c>
      <c r="C72" s="71">
        <f>IF(C8="NÃO",1.35,1)*C71</f>
        <v>11.843947584000002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0.5703125" style="83" customWidth="1"/>
    <col min="3" max="3" width="15.7109375" style="61" customWidth="1"/>
    <col min="4" max="4" width="0" hidden="1" customWidth="1"/>
    <col min="5" max="5" width="9.5703125" hidden="1" customWidth="1"/>
    <col min="6" max="9" width="0" hidden="1" customWidth="1"/>
  </cols>
  <sheetData>
    <row r="1" spans="1:5" x14ac:dyDescent="0.25">
      <c r="B1" s="6" t="s">
        <v>51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11.470509359999999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64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1280</v>
      </c>
    </row>
    <row r="42" spans="1:3" x14ac:dyDescent="0.25">
      <c r="B42" s="85" t="s">
        <v>115</v>
      </c>
      <c r="C42" s="62">
        <f>C40/C41</f>
        <v>0.59099999999999997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2.8450000000000002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5.056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7.0359999999999996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0.3518</v>
      </c>
    </row>
    <row r="65" spans="1:3" x14ac:dyDescent="0.25">
      <c r="B65" s="90" t="s">
        <v>142</v>
      </c>
      <c r="C65" s="62">
        <f>C61*7.2%</f>
        <v>0.50659200000000004</v>
      </c>
    </row>
    <row r="66" spans="1:3" x14ac:dyDescent="0.25">
      <c r="B66" s="90" t="s">
        <v>137</v>
      </c>
      <c r="C66" s="62">
        <f>C61*3.56%</f>
        <v>0.25048159999999997</v>
      </c>
    </row>
    <row r="67" spans="1:3" x14ac:dyDescent="0.25">
      <c r="B67" s="90" t="s">
        <v>138</v>
      </c>
      <c r="C67" s="62">
        <f>C61*5%</f>
        <v>0.3518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1.4606735999999998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8.4966735999999994</v>
      </c>
    </row>
    <row r="72" spans="1:3" x14ac:dyDescent="0.25">
      <c r="B72" s="41" t="s">
        <v>148</v>
      </c>
      <c r="C72" s="71">
        <f>IF(C8="NÃO",1.35,1)*C71</f>
        <v>11.470509359999999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1.1406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53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8.5581168166666686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120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2400</v>
      </c>
    </row>
    <row r="42" spans="1:3" x14ac:dyDescent="0.25">
      <c r="B42" s="85" t="s">
        <v>115</v>
      </c>
      <c r="C42" s="62">
        <f>C40/C41</f>
        <v>0.68145833333333339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1.5173333333333334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3.9887916666666667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6.2587916666666672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0.31293958333333338</v>
      </c>
    </row>
    <row r="65" spans="1:3" x14ac:dyDescent="0.25">
      <c r="B65" s="90" t="s">
        <v>142</v>
      </c>
      <c r="C65" s="62">
        <f>C61*7.2%</f>
        <v>0.45063300000000012</v>
      </c>
    </row>
    <row r="66" spans="1:3" x14ac:dyDescent="0.25">
      <c r="B66" s="90" t="s">
        <v>137</v>
      </c>
      <c r="C66" s="62">
        <f>C61*3.56%</f>
        <v>0.22281298333333335</v>
      </c>
    </row>
    <row r="67" spans="1:3" x14ac:dyDescent="0.25">
      <c r="B67" s="90" t="s">
        <v>138</v>
      </c>
      <c r="C67" s="62">
        <f>C61*5%</f>
        <v>0.31293958333333338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2.2993251500000005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8.5581168166666686</v>
      </c>
    </row>
    <row r="72" spans="1:3" x14ac:dyDescent="0.25">
      <c r="B72" s="41" t="s">
        <v>149</v>
      </c>
      <c r="C72" s="71">
        <f>IF(C8="NÃO",1.35,1)*C71</f>
        <v>8.5581168166666686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6.57031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56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35.743993920000008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81</v>
      </c>
    </row>
    <row r="9" spans="1:5" x14ac:dyDescent="0.25">
      <c r="B9" s="83" t="s">
        <v>82</v>
      </c>
      <c r="C9" s="66">
        <v>12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240</v>
      </c>
    </row>
    <row r="42" spans="1:3" x14ac:dyDescent="0.25">
      <c r="B42" s="85" t="s">
        <v>115</v>
      </c>
      <c r="C42" s="62">
        <f>C40/C41</f>
        <v>3.1520000000000001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15.173333333333334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19.945333333333334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21.925333333333334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1.0962666666666667</v>
      </c>
    </row>
    <row r="65" spans="1:3" x14ac:dyDescent="0.25">
      <c r="B65" s="90" t="s">
        <v>142</v>
      </c>
      <c r="C65" s="62">
        <f>C61*7.2%</f>
        <v>1.5786240000000002</v>
      </c>
    </row>
    <row r="66" spans="1:3" x14ac:dyDescent="0.25">
      <c r="B66" s="90" t="s">
        <v>137</v>
      </c>
      <c r="C66" s="62">
        <f>C61*3.56%</f>
        <v>0.78054186666666669</v>
      </c>
    </row>
    <row r="67" spans="1:3" x14ac:dyDescent="0.25">
      <c r="B67" s="90" t="s">
        <v>138</v>
      </c>
      <c r="C67" s="62">
        <f>C61*5%</f>
        <v>1.0962666666666667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4.5516992000000007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26.477032533333336</v>
      </c>
    </row>
    <row r="72" spans="1:3" x14ac:dyDescent="0.25">
      <c r="B72" s="41" t="s">
        <v>148</v>
      </c>
      <c r="C72" s="71">
        <f>IF(C8="NÃO",1.35,1)*C71</f>
        <v>35.743993920000008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67.5703125" style="83" customWidth="1"/>
    <col min="3" max="3" width="15.7109375" style="61" customWidth="1"/>
    <col min="4" max="8" width="0" hidden="1" customWidth="1"/>
  </cols>
  <sheetData>
    <row r="1" spans="1:5" x14ac:dyDescent="0.25">
      <c r="B1" s="6" t="s">
        <v>59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12.905333794827587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116</v>
      </c>
    </row>
    <row r="10" spans="1:5" x14ac:dyDescent="0.25">
      <c r="B10" s="83" t="s">
        <v>83</v>
      </c>
      <c r="C10" s="65" t="s">
        <v>87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2.86</v>
      </c>
    </row>
    <row r="16" spans="1:5" x14ac:dyDescent="0.25">
      <c r="B16" s="85" t="s">
        <v>93</v>
      </c>
      <c r="C16" s="62">
        <f>C14/C15</f>
        <v>2.6293706293706292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0.16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1717.93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6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10307.58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67500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0.15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0.35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3.29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117986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15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17697.900000000001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1769.79</v>
      </c>
    </row>
    <row r="41" spans="1:3" x14ac:dyDescent="0.25">
      <c r="B41" s="83" t="s">
        <v>114</v>
      </c>
      <c r="C41" s="61">
        <f>C9*C11</f>
        <v>2320</v>
      </c>
    </row>
    <row r="42" spans="1:3" x14ac:dyDescent="0.25">
      <c r="B42" s="85" t="s">
        <v>115</v>
      </c>
      <c r="C42" s="62">
        <f>C40/C41</f>
        <v>0.76284051724137925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1.5696551724137933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117986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2359.7199999999998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2582.29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2.58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4.9124956896551728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8.2024956896551728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0.41012478448275869</v>
      </c>
    </row>
    <row r="65" spans="1:3" x14ac:dyDescent="0.25">
      <c r="B65" s="90" t="s">
        <v>142</v>
      </c>
      <c r="C65" s="62">
        <f>C61*7.2%</f>
        <v>0.59057968965517249</v>
      </c>
    </row>
    <row r="66" spans="1:3" x14ac:dyDescent="0.25">
      <c r="B66" s="90" t="s">
        <v>137</v>
      </c>
      <c r="C66" s="62">
        <f>C61*3.56%</f>
        <v>0.29200884655172415</v>
      </c>
    </row>
    <row r="67" spans="1:3" x14ac:dyDescent="0.25">
      <c r="B67" s="90" t="s">
        <v>138</v>
      </c>
      <c r="C67" s="62">
        <f>C61*5%</f>
        <v>0.41012478448275869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3</v>
      </c>
    </row>
    <row r="69" spans="1:3" x14ac:dyDescent="0.25">
      <c r="B69" s="41" t="s">
        <v>140</v>
      </c>
      <c r="C69" s="68">
        <f>SUM(C64:C68)</f>
        <v>4.7028381051724137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12.905333794827587</v>
      </c>
    </row>
    <row r="72" spans="1:3" x14ac:dyDescent="0.25">
      <c r="B72" s="41" t="s">
        <v>150</v>
      </c>
      <c r="C72" s="71">
        <f>IF(C8="NÃO",1.35,1)*C71</f>
        <v>12.905333794827587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8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62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12.905333794827587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116</v>
      </c>
    </row>
    <row r="10" spans="1:5" x14ac:dyDescent="0.25">
      <c r="B10" s="83" t="s">
        <v>83</v>
      </c>
      <c r="C10" s="65" t="s">
        <v>87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2.86</v>
      </c>
    </row>
    <row r="16" spans="1:5" x14ac:dyDescent="0.25">
      <c r="B16" s="85" t="s">
        <v>93</v>
      </c>
      <c r="C16" s="62">
        <f>C14/C15</f>
        <v>2.6293706293706292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0.16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1717.93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6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10307.58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67500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0.15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0.35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3.29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117986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15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17697.900000000001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1769.79</v>
      </c>
    </row>
    <row r="41" spans="1:3" x14ac:dyDescent="0.25">
      <c r="B41" s="83" t="s">
        <v>114</v>
      </c>
      <c r="C41" s="61">
        <f>C9*C11</f>
        <v>2320</v>
      </c>
    </row>
    <row r="42" spans="1:3" x14ac:dyDescent="0.25">
      <c r="B42" s="85" t="s">
        <v>115</v>
      </c>
      <c r="C42" s="62">
        <f>C40/C41</f>
        <v>0.76284051724137925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1.5696551724137933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117986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2359.7199999999998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2582.29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2.58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4.9124956896551728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8.2024956896551728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0.41012478448275869</v>
      </c>
    </row>
    <row r="65" spans="1:3" x14ac:dyDescent="0.25">
      <c r="B65" s="90" t="s">
        <v>142</v>
      </c>
      <c r="C65" s="62">
        <f>C61*7.2%</f>
        <v>0.59057968965517249</v>
      </c>
    </row>
    <row r="66" spans="1:3" x14ac:dyDescent="0.25">
      <c r="B66" s="90" t="s">
        <v>137</v>
      </c>
      <c r="C66" s="62">
        <f>C61*3.56%</f>
        <v>0.29200884655172415</v>
      </c>
    </row>
    <row r="67" spans="1:3" x14ac:dyDescent="0.25">
      <c r="B67" s="90" t="s">
        <v>138</v>
      </c>
      <c r="C67" s="62">
        <f>C61*5%</f>
        <v>0.41012478448275869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3</v>
      </c>
    </row>
    <row r="69" spans="1:3" x14ac:dyDescent="0.25">
      <c r="B69" s="41" t="s">
        <v>140</v>
      </c>
      <c r="C69" s="68">
        <f>SUM(C64:C68)</f>
        <v>4.7028381051724137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12.905333794827587</v>
      </c>
    </row>
    <row r="72" spans="1:3" x14ac:dyDescent="0.25">
      <c r="B72" s="41" t="s">
        <v>149</v>
      </c>
      <c r="C72" s="71">
        <f>IF(C8="NÃO",1.35,1)*C71</f>
        <v>12.905333794827587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2" style="83" customWidth="1"/>
    <col min="3" max="3" width="15.7109375" style="61" customWidth="1"/>
    <col min="4" max="7" width="0" hidden="1" customWidth="1"/>
  </cols>
  <sheetData>
    <row r="1" spans="1:5" x14ac:dyDescent="0.25">
      <c r="B1" s="6" t="s">
        <v>64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12.905333794827587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116</v>
      </c>
    </row>
    <row r="10" spans="1:5" x14ac:dyDescent="0.25">
      <c r="B10" s="83" t="s">
        <v>83</v>
      </c>
      <c r="C10" s="65" t="s">
        <v>87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2.86</v>
      </c>
    </row>
    <row r="16" spans="1:5" x14ac:dyDescent="0.25">
      <c r="B16" s="85" t="s">
        <v>93</v>
      </c>
      <c r="C16" s="62">
        <f>C14/C15</f>
        <v>2.6293706293706292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0.16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1717.93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6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10307.58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67500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0.15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0.35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3.29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117986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15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17697.900000000001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1769.79</v>
      </c>
    </row>
    <row r="41" spans="1:3" x14ac:dyDescent="0.25">
      <c r="B41" s="83" t="s">
        <v>114</v>
      </c>
      <c r="C41" s="61">
        <f>C9*C11</f>
        <v>2320</v>
      </c>
    </row>
    <row r="42" spans="1:3" x14ac:dyDescent="0.25">
      <c r="B42" s="85" t="s">
        <v>115</v>
      </c>
      <c r="C42" s="62">
        <f>C40/C41</f>
        <v>0.76284051724137925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1.5696551724137933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117986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2359.7199999999998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2582.29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2.58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4.9124956896551728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8.2024956896551728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0.41012478448275869</v>
      </c>
    </row>
    <row r="65" spans="1:3" x14ac:dyDescent="0.25">
      <c r="B65" s="90" t="s">
        <v>142</v>
      </c>
      <c r="C65" s="62">
        <f>C61*7.2%</f>
        <v>0.59057968965517249</v>
      </c>
    </row>
    <row r="66" spans="1:3" x14ac:dyDescent="0.25">
      <c r="B66" s="90" t="s">
        <v>137</v>
      </c>
      <c r="C66" s="62">
        <f>C61*3.56%</f>
        <v>0.29200884655172415</v>
      </c>
    </row>
    <row r="67" spans="1:3" x14ac:dyDescent="0.25">
      <c r="B67" s="90" t="s">
        <v>138</v>
      </c>
      <c r="C67" s="62">
        <f>C61*5%</f>
        <v>0.41012478448275869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3</v>
      </c>
    </row>
    <row r="69" spans="1:3" x14ac:dyDescent="0.25">
      <c r="B69" s="41" t="s">
        <v>140</v>
      </c>
      <c r="C69" s="68">
        <f>SUM(C64:C68)</f>
        <v>4.7028381051724137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12.905333794827587</v>
      </c>
    </row>
    <row r="72" spans="1:3" x14ac:dyDescent="0.25">
      <c r="B72" s="41" t="s">
        <v>149</v>
      </c>
      <c r="C72" s="71">
        <f>IF(C8="NÃO",1.35,1)*C71</f>
        <v>12.905333794827587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8.140625" style="83" customWidth="1"/>
    <col min="3" max="3" width="15.7109375" style="61" customWidth="1"/>
    <col min="4" max="4" width="0" hidden="1" customWidth="1"/>
    <col min="5" max="5" width="12.7109375" hidden="1" customWidth="1"/>
    <col min="6" max="7" width="0" hidden="1" customWidth="1"/>
  </cols>
  <sheetData>
    <row r="1" spans="1:5" x14ac:dyDescent="0.25">
      <c r="B1" s="6" t="s">
        <v>65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11.213377633333334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60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1200</v>
      </c>
    </row>
    <row r="42" spans="1:3" x14ac:dyDescent="0.25">
      <c r="B42" s="85" t="s">
        <v>115</v>
      </c>
      <c r="C42" s="62">
        <f>C40/C41</f>
        <v>1.3629166666666668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3.0346666666666668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6.1875833333333343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8.4575833333333339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0.42287916666666669</v>
      </c>
    </row>
    <row r="65" spans="1:3" x14ac:dyDescent="0.25">
      <c r="B65" s="90" t="s">
        <v>142</v>
      </c>
      <c r="C65" s="62">
        <f>C61*7.2%</f>
        <v>0.6089460000000001</v>
      </c>
    </row>
    <row r="66" spans="1:3" x14ac:dyDescent="0.25">
      <c r="B66" s="90" t="s">
        <v>137</v>
      </c>
      <c r="C66" s="62">
        <f>C61*3.56%</f>
        <v>0.30108996666666671</v>
      </c>
    </row>
    <row r="67" spans="1:3" x14ac:dyDescent="0.25">
      <c r="B67" s="90" t="s">
        <v>138</v>
      </c>
      <c r="C67" s="62">
        <f>C61*5%</f>
        <v>0.42287916666666669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2.7557942999999998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11.213377633333334</v>
      </c>
    </row>
    <row r="72" spans="1:3" x14ac:dyDescent="0.25">
      <c r="B72" s="41" t="s">
        <v>149</v>
      </c>
      <c r="C72" s="71">
        <f>IF(C8="NÃO",1.35,1)*C71</f>
        <v>11.213377633333334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7.7109375" style="83" customWidth="1"/>
    <col min="3" max="3" width="15.7109375" style="61" customWidth="1"/>
    <col min="4" max="4" width="0" hidden="1" customWidth="1"/>
    <col min="5" max="5" width="9.5703125" hidden="1" customWidth="1"/>
    <col min="6" max="8" width="0" hidden="1" customWidth="1"/>
  </cols>
  <sheetData>
    <row r="1" spans="1:5" x14ac:dyDescent="0.25">
      <c r="B1" s="6" t="s">
        <v>68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13.356009281999999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100</v>
      </c>
    </row>
    <row r="10" spans="1:5" x14ac:dyDescent="0.25">
      <c r="B10" s="83" t="s">
        <v>83</v>
      </c>
      <c r="C10" s="65" t="s">
        <v>87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2.86</v>
      </c>
    </row>
    <row r="16" spans="1:5" x14ac:dyDescent="0.25">
      <c r="B16" s="85" t="s">
        <v>93</v>
      </c>
      <c r="C16" s="62">
        <f>C14/C15</f>
        <v>2.6293706293706292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0.16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1717.93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6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10307.58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67500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0.15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0.35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3.29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117986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15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17697.900000000001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1769.79</v>
      </c>
    </row>
    <row r="41" spans="1:3" x14ac:dyDescent="0.25">
      <c r="B41" s="83" t="s">
        <v>114</v>
      </c>
      <c r="C41" s="61">
        <f>C9*C11</f>
        <v>2000</v>
      </c>
    </row>
    <row r="42" spans="1:3" x14ac:dyDescent="0.25">
      <c r="B42" s="85" t="s">
        <v>115</v>
      </c>
      <c r="C42" s="62">
        <f>C40/C41</f>
        <v>0.88489499999999999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1.8208000000000002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117986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2359.7199999999998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2582.29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2.58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5.2856950000000005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8.5756949999999996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0.42878474999999999</v>
      </c>
    </row>
    <row r="65" spans="1:3" x14ac:dyDescent="0.25">
      <c r="B65" s="90" t="s">
        <v>142</v>
      </c>
      <c r="C65" s="62">
        <f>C61*7.2%</f>
        <v>0.61745004000000003</v>
      </c>
    </row>
    <row r="66" spans="1:3" x14ac:dyDescent="0.25">
      <c r="B66" s="90" t="s">
        <v>137</v>
      </c>
      <c r="C66" s="62">
        <f>C61*3.56%</f>
        <v>0.30529474200000001</v>
      </c>
    </row>
    <row r="67" spans="1:3" x14ac:dyDescent="0.25">
      <c r="B67" s="90" t="s">
        <v>138</v>
      </c>
      <c r="C67" s="62">
        <f>C61*5%</f>
        <v>0.42878474999999999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3</v>
      </c>
    </row>
    <row r="69" spans="1:3" x14ac:dyDescent="0.25">
      <c r="B69" s="41" t="s">
        <v>140</v>
      </c>
      <c r="C69" s="68">
        <f>SUM(C64:C68)</f>
        <v>4.780314282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13.356009281999999</v>
      </c>
    </row>
    <row r="72" spans="1:3" x14ac:dyDescent="0.25">
      <c r="B72" s="41" t="s">
        <v>152</v>
      </c>
      <c r="C72" s="71">
        <f>IF(C8="NÃO",1.35,1)*C71</f>
        <v>13.356009281999999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2.85546875" style="83" customWidth="1"/>
    <col min="3" max="3" width="15.7109375" style="61" customWidth="1"/>
    <col min="4" max="7" width="0" hidden="1" customWidth="1"/>
  </cols>
  <sheetData>
    <row r="1" spans="1:5" x14ac:dyDescent="0.25">
      <c r="B1" s="6" t="s">
        <v>173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13.356009281999999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100</v>
      </c>
    </row>
    <row r="10" spans="1:5" x14ac:dyDescent="0.25">
      <c r="B10" s="83" t="s">
        <v>83</v>
      </c>
      <c r="C10" s="65" t="s">
        <v>87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2.86</v>
      </c>
    </row>
    <row r="16" spans="1:5" x14ac:dyDescent="0.25">
      <c r="B16" s="85" t="s">
        <v>93</v>
      </c>
      <c r="C16" s="62">
        <f>C14/C15</f>
        <v>2.6293706293706292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0.16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1717.93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6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10307.58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67500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0.15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0.35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3.29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117986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15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17697.900000000001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1769.79</v>
      </c>
    </row>
    <row r="41" spans="1:3" x14ac:dyDescent="0.25">
      <c r="B41" s="83" t="s">
        <v>114</v>
      </c>
      <c r="C41" s="61">
        <f>C9*C11</f>
        <v>2000</v>
      </c>
    </row>
    <row r="42" spans="1:3" x14ac:dyDescent="0.25">
      <c r="B42" s="85" t="s">
        <v>115</v>
      </c>
      <c r="C42" s="62">
        <f>C40/C41</f>
        <v>0.88489499999999999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1.8208000000000002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117986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2359.7199999999998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2582.29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2.58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5.2856950000000005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8.5756949999999996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0.42878474999999999</v>
      </c>
    </row>
    <row r="65" spans="1:3" x14ac:dyDescent="0.25">
      <c r="B65" s="90" t="s">
        <v>142</v>
      </c>
      <c r="C65" s="62">
        <f>C61*7.2%</f>
        <v>0.61745004000000003</v>
      </c>
    </row>
    <row r="66" spans="1:3" x14ac:dyDescent="0.25">
      <c r="B66" s="90" t="s">
        <v>137</v>
      </c>
      <c r="C66" s="62">
        <f>C61*3.56%</f>
        <v>0.30529474200000001</v>
      </c>
    </row>
    <row r="67" spans="1:3" x14ac:dyDescent="0.25">
      <c r="B67" s="90" t="s">
        <v>138</v>
      </c>
      <c r="C67" s="62">
        <f>C61*5%</f>
        <v>0.42878474999999999</v>
      </c>
    </row>
    <row r="68" spans="1:3" ht="24" x14ac:dyDescent="0.25">
      <c r="B68" s="91" t="s">
        <v>139</v>
      </c>
      <c r="C68" s="62">
        <f>ROUND(IF($C$10="MINIVAN",BANCO_DADOS!C73,IF($C$10="VAN",BANCO_DADOS!D73,IF($C$10="MICROONIBUS",BANCO_DADOS!E73,BANCO_DADOS!F73))),2)</f>
        <v>3</v>
      </c>
    </row>
    <row r="69" spans="1:3" x14ac:dyDescent="0.25">
      <c r="B69" s="41" t="s">
        <v>140</v>
      </c>
      <c r="C69" s="68">
        <f>SUM(C64:C68)</f>
        <v>4.780314282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13.356009281999999</v>
      </c>
    </row>
    <row r="72" spans="1:3" x14ac:dyDescent="0.25">
      <c r="B72" s="41" t="s">
        <v>152</v>
      </c>
      <c r="C72" s="71">
        <f>IF(C8="NÃO",1.35,1)*C71</f>
        <v>13.356009281999999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E73"/>
  <sheetViews>
    <sheetView zoomScaleNormal="100" workbookViewId="0">
      <selection activeCell="B1" sqref="B1:C2"/>
    </sheetView>
  </sheetViews>
  <sheetFormatPr defaultColWidth="8.7109375" defaultRowHeight="15" x14ac:dyDescent="0.25"/>
  <cols>
    <col min="1" max="1" width="2.85546875" style="7" customWidth="1"/>
    <col min="2" max="2" width="77.5703125" style="83" customWidth="1"/>
    <col min="3" max="3" width="15.7109375" style="61" customWidth="1"/>
    <col min="4" max="7" width="0" hidden="1" customWidth="1"/>
  </cols>
  <sheetData>
    <row r="1" spans="1:5" x14ac:dyDescent="0.25">
      <c r="B1" s="6" t="s">
        <v>174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9.0891689800000002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100</v>
      </c>
    </row>
    <row r="10" spans="1:5" x14ac:dyDescent="0.25">
      <c r="B10" s="83" t="s">
        <v>83</v>
      </c>
      <c r="C10" s="65" t="s">
        <v>85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7.52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</v>
      </c>
    </row>
    <row r="16" spans="1:5" x14ac:dyDescent="0.25">
      <c r="B16" s="85" t="s">
        <v>93</v>
      </c>
      <c r="C16" s="62">
        <f>C14/C15</f>
        <v>1.88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417.64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1670.56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0.04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0.25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2.27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81775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16355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1635.5</v>
      </c>
    </row>
    <row r="41" spans="1:3" x14ac:dyDescent="0.25">
      <c r="B41" s="83" t="s">
        <v>114</v>
      </c>
      <c r="C41" s="61">
        <f>C9*C11</f>
        <v>2000</v>
      </c>
    </row>
    <row r="42" spans="1:3" x14ac:dyDescent="0.25">
      <c r="B42" s="85" t="s">
        <v>115</v>
      </c>
      <c r="C42" s="62">
        <f>C40/C41</f>
        <v>0.81774999999999998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1.8208000000000002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81775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1635.5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1732.03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1.79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4.4285500000000004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6.6985500000000009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0.33492750000000004</v>
      </c>
    </row>
    <row r="65" spans="1:3" x14ac:dyDescent="0.25">
      <c r="B65" s="90" t="s">
        <v>142</v>
      </c>
      <c r="C65" s="62">
        <f>C61*7.2%</f>
        <v>0.4822956000000001</v>
      </c>
    </row>
    <row r="66" spans="1:3" x14ac:dyDescent="0.25">
      <c r="B66" s="90" t="s">
        <v>137</v>
      </c>
      <c r="C66" s="62">
        <f>C61*3.56%</f>
        <v>0.23846838000000004</v>
      </c>
    </row>
    <row r="67" spans="1:3" x14ac:dyDescent="0.25">
      <c r="B67" s="90" t="s">
        <v>138</v>
      </c>
      <c r="C67" s="62">
        <f>C61*5%</f>
        <v>0.33492750000000004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1</v>
      </c>
    </row>
    <row r="69" spans="1:3" x14ac:dyDescent="0.25">
      <c r="B69" s="41" t="s">
        <v>140</v>
      </c>
      <c r="C69" s="68">
        <f>SUM(C64:C68)</f>
        <v>2.3906189800000002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9.0891689800000002</v>
      </c>
    </row>
    <row r="72" spans="1:3" x14ac:dyDescent="0.25">
      <c r="B72" s="41" t="s">
        <v>152</v>
      </c>
      <c r="C72" s="71">
        <f>IF(C8="NÃO",1.35,1)*C71</f>
        <v>9.0891689800000002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E73"/>
  <sheetViews>
    <sheetView zoomScaleNormal="100" workbookViewId="0">
      <selection activeCell="Q20" sqref="Q20"/>
    </sheetView>
  </sheetViews>
  <sheetFormatPr defaultColWidth="8.7109375" defaultRowHeight="15" x14ac:dyDescent="0.25"/>
  <cols>
    <col min="1" max="1" width="2.85546875" style="7" customWidth="1"/>
    <col min="2" max="2" width="78.42578125" style="83" customWidth="1"/>
    <col min="3" max="3" width="15.7109375" style="61" customWidth="1"/>
    <col min="4" max="9" width="0" hidden="1" customWidth="1"/>
  </cols>
  <sheetData>
    <row r="1" spans="1:5" x14ac:dyDescent="0.25">
      <c r="B1" s="6" t="s">
        <v>175</v>
      </c>
      <c r="C1" s="6"/>
    </row>
    <row r="2" spans="1:5" x14ac:dyDescent="0.25">
      <c r="B2" s="6"/>
      <c r="C2" s="6"/>
    </row>
    <row r="3" spans="1:5" x14ac:dyDescent="0.25">
      <c r="B3" s="81" t="s">
        <v>75</v>
      </c>
      <c r="C3" s="61">
        <f>BANCO_DADOS!C3</f>
        <v>10</v>
      </c>
    </row>
    <row r="4" spans="1:5" x14ac:dyDescent="0.25">
      <c r="B4" s="81" t="s">
        <v>76</v>
      </c>
      <c r="C4" s="61">
        <v>20</v>
      </c>
    </row>
    <row r="5" spans="1:5" x14ac:dyDescent="0.25">
      <c r="B5" s="82" t="s">
        <v>77</v>
      </c>
      <c r="C5" s="62">
        <f>BANCO_DADOS!C5</f>
        <v>7.28</v>
      </c>
      <c r="E5" s="63">
        <f>C72</f>
        <v>7.0029207039999992</v>
      </c>
    </row>
    <row r="6" spans="1:5" x14ac:dyDescent="0.25">
      <c r="B6" s="82" t="s">
        <v>78</v>
      </c>
      <c r="C6" s="62">
        <f>BANCO_DADOS!C6</f>
        <v>7.52</v>
      </c>
    </row>
    <row r="7" spans="1:5" x14ac:dyDescent="0.25">
      <c r="B7" s="41" t="s">
        <v>79</v>
      </c>
      <c r="C7" s="64"/>
    </row>
    <row r="8" spans="1:5" x14ac:dyDescent="0.25">
      <c r="B8" s="83" t="s">
        <v>80</v>
      </c>
      <c r="C8" s="65" t="s">
        <v>144</v>
      </c>
    </row>
    <row r="9" spans="1:5" x14ac:dyDescent="0.25">
      <c r="B9" s="83" t="s">
        <v>82</v>
      </c>
      <c r="C9" s="66">
        <v>100</v>
      </c>
    </row>
    <row r="10" spans="1:5" x14ac:dyDescent="0.25">
      <c r="B10" s="83" t="s">
        <v>83</v>
      </c>
      <c r="C10" s="65" t="s">
        <v>84</v>
      </c>
    </row>
    <row r="11" spans="1:5" x14ac:dyDescent="0.25">
      <c r="B11" s="83" t="s">
        <v>88</v>
      </c>
      <c r="C11" s="61">
        <v>20</v>
      </c>
    </row>
    <row r="13" spans="1:5" x14ac:dyDescent="0.25">
      <c r="A13" s="24"/>
      <c r="B13" s="41" t="s">
        <v>89</v>
      </c>
      <c r="C13" s="64"/>
    </row>
    <row r="14" spans="1:5" x14ac:dyDescent="0.25">
      <c r="B14" s="84" t="s">
        <v>90</v>
      </c>
      <c r="C14" s="62">
        <f>IF($C$10="MINIVAN",BANCO_DADOS!C14,IF($C$10="VAN",BANCO_DADOS!D14,IF($C$10="MICROONIBUS",BANCO_DADOS!E14,BANCO_DADOS!F14)))</f>
        <v>7.28</v>
      </c>
    </row>
    <row r="15" spans="1:5" x14ac:dyDescent="0.25">
      <c r="B15" s="83" t="s">
        <v>91</v>
      </c>
      <c r="C15" s="61">
        <f>IF($C$10="MINIVAN",BANCO_DADOS!C15,IF($C$10="VAN",BANCO_DADOS!D15,IF($C$10="MICROONIBUS",BANCO_DADOS!E15,BANCO_DADOS!F15)))</f>
        <v>4.2</v>
      </c>
    </row>
    <row r="16" spans="1:5" x14ac:dyDescent="0.25">
      <c r="B16" s="85" t="s">
        <v>93</v>
      </c>
      <c r="C16" s="62">
        <f>C14/C15</f>
        <v>1.7333333333333334</v>
      </c>
    </row>
    <row r="17" spans="1:3" x14ac:dyDescent="0.25">
      <c r="B17" s="85"/>
    </row>
    <row r="18" spans="1:3" x14ac:dyDescent="0.25">
      <c r="B18" s="84" t="s">
        <v>94</v>
      </c>
      <c r="C18" s="67"/>
    </row>
    <row r="19" spans="1:3" x14ac:dyDescent="0.25">
      <c r="B19" s="85" t="s">
        <v>95</v>
      </c>
      <c r="C19" s="62">
        <f>ROUND(IF($C$10="MINIVAN",BANCO_DADOS!C19,IF($C$10="VAN",BANCO_DADOS!D19,IF($C$10="MICROONIBUS",BANCO_DADOS!E19,BANCO_DADOS!F19))),2)</f>
        <v>0.1</v>
      </c>
    </row>
    <row r="20" spans="1:3" x14ac:dyDescent="0.25">
      <c r="B20" s="85"/>
    </row>
    <row r="21" spans="1:3" x14ac:dyDescent="0.25">
      <c r="B21" s="84" t="s">
        <v>96</v>
      </c>
      <c r="C21" s="67"/>
    </row>
    <row r="22" spans="1:3" x14ac:dyDescent="0.25">
      <c r="B22" s="83" t="s">
        <v>97</v>
      </c>
      <c r="C22" s="62">
        <f>ROUND(IF($C$10="MINIVAN",BANCO_DADOS!C22,IF($C$10="VAN",BANCO_DADOS!D22,IF($C$10="MICROONIBUS",BANCO_DADOS!E22,BANCO_DADOS!F22))),2)</f>
        <v>348.83</v>
      </c>
    </row>
    <row r="23" spans="1:3" x14ac:dyDescent="0.25">
      <c r="B23" s="83" t="s">
        <v>98</v>
      </c>
      <c r="C23" s="61">
        <f>ROUND(IF($C$10="MINIVAN",BANCO_DADOS!C23,IF($C$10="VAN",BANCO_DADOS!D23,IF($C$10="MICROONIBUS",BANCO_DADOS!E23,BANCO_DADOS!F23))),2)</f>
        <v>4</v>
      </c>
    </row>
    <row r="24" spans="1:3" x14ac:dyDescent="0.25">
      <c r="B24" s="83" t="s">
        <v>99</v>
      </c>
      <c r="C24" s="62">
        <f>ROUND(IF($C$10="MINIVAN",BANCO_DADOS!C24,IF($C$10="VAN",BANCO_DADOS!D24,IF($C$10="MICROONIBUS",BANCO_DADOS!E24,BANCO_DADOS!F24))),2)</f>
        <v>1395.32</v>
      </c>
    </row>
    <row r="25" spans="1:3" x14ac:dyDescent="0.25">
      <c r="B25" s="83" t="s">
        <v>100</v>
      </c>
      <c r="C25" s="61">
        <f>ROUND(IF($C$10="MINIVAN",BANCO_DADOS!C25,IF($C$10="VAN",BANCO_DADOS!D25,IF($C$10="MICROONIBUS",BANCO_DADOS!E25,BANCO_DADOS!F25))),2)</f>
        <v>45500</v>
      </c>
    </row>
    <row r="26" spans="1:3" x14ac:dyDescent="0.25">
      <c r="B26" s="85" t="s">
        <v>101</v>
      </c>
      <c r="C26" s="62">
        <f>ROUND(IF($C$10="MINIVAN",BANCO_DADOS!C26,IF($C$10="VAN",BANCO_DADOS!D26,IF($C$10="MICROONIBUS",BANCO_DADOS!E26,BANCO_DADOS!F26))),2)</f>
        <v>0.03</v>
      </c>
    </row>
    <row r="27" spans="1:3" x14ac:dyDescent="0.25">
      <c r="B27" s="85"/>
    </row>
    <row r="28" spans="1:3" x14ac:dyDescent="0.25">
      <c r="B28" s="84" t="s">
        <v>102</v>
      </c>
      <c r="C28" s="67"/>
    </row>
    <row r="29" spans="1:3" x14ac:dyDescent="0.25">
      <c r="B29" s="83" t="s">
        <v>103</v>
      </c>
      <c r="C29" s="61">
        <f>(IF($C$10="MINIVAN",BANCO_DADOS!C29,IF($C$10="VAN",BANCO_DADOS!D29,IF($C$10="MICROONIBUS",BANCO_DADOS!E29,BANCO_DADOS!F29))))</f>
        <v>3.0000000000000001E-6</v>
      </c>
    </row>
    <row r="30" spans="1:3" x14ac:dyDescent="0.25">
      <c r="B30" s="86" t="s">
        <v>104</v>
      </c>
      <c r="C30" s="62">
        <f>ROUND(IF($C$10="MINIVAN",BANCO_DADOS!C30,IF($C$10="VAN",BANCO_DADOS!D30,IF($C$10="MICROONIBUS",BANCO_DADOS!E30,BANCO_DADOS!F30))),2)</f>
        <v>0.11</v>
      </c>
    </row>
    <row r="31" spans="1:3" x14ac:dyDescent="0.25">
      <c r="B31" s="86"/>
    </row>
    <row r="32" spans="1:3" x14ac:dyDescent="0.25">
      <c r="A32" s="40"/>
      <c r="B32" s="41" t="s">
        <v>105</v>
      </c>
      <c r="C32" s="68">
        <f>ROUND(IF($C$10="MINIVAN",BANCO_DADOS!C32,IF($C$10="VAN",BANCO_DADOS!D32,IF($C$10="MICROONIBUS",BANCO_DADOS!E32,BANCO_DADOS!F32))),2)</f>
        <v>1.98</v>
      </c>
    </row>
    <row r="33" spans="1:3" x14ac:dyDescent="0.25">
      <c r="B33" s="85"/>
    </row>
    <row r="34" spans="1:3" x14ac:dyDescent="0.25">
      <c r="A34" s="24"/>
      <c r="B34" s="41" t="s">
        <v>106</v>
      </c>
      <c r="C34" s="64"/>
    </row>
    <row r="35" spans="1:3" x14ac:dyDescent="0.25">
      <c r="B35" s="84" t="s">
        <v>107</v>
      </c>
      <c r="C35" s="67"/>
    </row>
    <row r="36" spans="1:3" x14ac:dyDescent="0.25">
      <c r="B36" s="83" t="s">
        <v>108</v>
      </c>
      <c r="C36" s="62">
        <f>ROUND(IF($C$10="MINIVAN",BANCO_DADOS!C36,IF($C$10="VAN",BANCO_DADOS!D36,IF($C$10="MICROONIBUS",BANCO_DADOS!E36,BANCO_DADOS!F36))),2)</f>
        <v>37824</v>
      </c>
    </row>
    <row r="37" spans="1:3" x14ac:dyDescent="0.25">
      <c r="B37" s="83" t="s">
        <v>109</v>
      </c>
      <c r="C37" s="61">
        <f>ROUND(IF($C$10="MINIVAN",BANCO_DADOS!C37,IF($C$10="VAN",BANCO_DADOS!D37,IF($C$10="MICROONIBUS",BANCO_DADOS!E37,BANCO_DADOS!F37))),2)</f>
        <v>20</v>
      </c>
    </row>
    <row r="38" spans="1:3" x14ac:dyDescent="0.25">
      <c r="B38" s="83" t="s">
        <v>111</v>
      </c>
      <c r="C38" s="62">
        <f>ROUND(IF($C$10="MINIVAN",BANCO_DADOS!C38,IF($C$10="VAN",BANCO_DADOS!D38,IF($C$10="MICROONIBUS",BANCO_DADOS!E38,BANCO_DADOS!F38))),2)</f>
        <v>7564.8</v>
      </c>
    </row>
    <row r="39" spans="1:3" x14ac:dyDescent="0.25">
      <c r="B39" s="83" t="s">
        <v>112</v>
      </c>
      <c r="C39" s="61">
        <f>ROUND(IF($C$10="MINIVAN",BANCO_DADOS!C39,IF($C$10="VAN",BANCO_DADOS!D39,IF($C$10="MICROONIBUS",BANCO_DADOS!E39,BANCO_DADOS!F39))),2)</f>
        <v>10</v>
      </c>
    </row>
    <row r="40" spans="1:3" x14ac:dyDescent="0.25">
      <c r="B40" s="83" t="s">
        <v>113</v>
      </c>
      <c r="C40" s="62">
        <f>ROUND(IF($C$10="MINIVAN",BANCO_DADOS!C40,IF($C$10="VAN",BANCO_DADOS!D40,IF($C$10="MICROONIBUS",BANCO_DADOS!E40,BANCO_DADOS!F40))),2)</f>
        <v>756.48</v>
      </c>
    </row>
    <row r="41" spans="1:3" x14ac:dyDescent="0.25">
      <c r="B41" s="83" t="s">
        <v>114</v>
      </c>
      <c r="C41" s="61">
        <f>C9*C11</f>
        <v>2000</v>
      </c>
    </row>
    <row r="42" spans="1:3" x14ac:dyDescent="0.25">
      <c r="B42" s="85" t="s">
        <v>115</v>
      </c>
      <c r="C42" s="62">
        <f>C40/C41</f>
        <v>0.37824000000000002</v>
      </c>
    </row>
    <row r="43" spans="1:3" x14ac:dyDescent="0.25">
      <c r="B43" s="85"/>
    </row>
    <row r="44" spans="1:3" x14ac:dyDescent="0.25">
      <c r="B44" s="84" t="s">
        <v>116</v>
      </c>
      <c r="C44" s="67"/>
    </row>
    <row r="45" spans="1:3" x14ac:dyDescent="0.25">
      <c r="B45" s="83" t="s">
        <v>118</v>
      </c>
      <c r="C45" s="62">
        <f>ROUND(IF($C$10="MINIVAN",BANCO_DADOS!C45,IF($C$10="VAN",BANCO_DADOS!D45,IF($C$10="MICROONIBUS",BANCO_DADOS!E45,BANCO_DADOS!F45))),2)</f>
        <v>6676.24</v>
      </c>
    </row>
    <row r="46" spans="1:3" x14ac:dyDescent="0.25">
      <c r="B46" s="83" t="s">
        <v>119</v>
      </c>
      <c r="C46" s="62">
        <f>ROUND(IF($C$10="MINIVAN",BANCO_DADOS!C46,IF($C$10="VAN",BANCO_DADOS!D46,IF($C$10="MICROONIBUS",BANCO_DADOS!E46,BANCO_DADOS!F46))),2)</f>
        <v>30.35</v>
      </c>
    </row>
    <row r="47" spans="1:3" x14ac:dyDescent="0.25">
      <c r="B47" s="87" t="s">
        <v>120</v>
      </c>
      <c r="C47" s="70">
        <f>ROUND(IF($C$10="MINIVAN",BANCO_DADOS!C47,IF($C$10="VAN",BANCO_DADOS!D47,IF($C$10="MICROONIBUS",BANCO_DADOS!E47,BANCO_DADOS!F47))),2)</f>
        <v>182.08</v>
      </c>
    </row>
    <row r="48" spans="1:3" x14ac:dyDescent="0.25">
      <c r="B48" s="85" t="s">
        <v>121</v>
      </c>
      <c r="C48" s="62">
        <f>C47/C9</f>
        <v>1.8208000000000002</v>
      </c>
    </row>
    <row r="49" spans="1:3" x14ac:dyDescent="0.25">
      <c r="C49" s="62"/>
    </row>
    <row r="50" spans="1:3" x14ac:dyDescent="0.25">
      <c r="A50" s="40"/>
      <c r="B50" s="88" t="s">
        <v>122</v>
      </c>
      <c r="C50" s="62"/>
    </row>
    <row r="51" spans="1:3" x14ac:dyDescent="0.25">
      <c r="B51" s="83" t="s">
        <v>123</v>
      </c>
      <c r="C51" s="62">
        <f>ROUND(IF($C$10="MINIVAN",BANCO_DADOS!C51,IF($C$10="VAN",BANCO_DADOS!D51,IF($C$10="MICROONIBUS",BANCO_DADOS!E51,BANCO_DADOS!F51))),2)</f>
        <v>37824</v>
      </c>
    </row>
    <row r="52" spans="1:3" x14ac:dyDescent="0.25">
      <c r="B52" s="83" t="s">
        <v>124</v>
      </c>
      <c r="C52" s="62">
        <f>ROUND(IF($C$10="MINIVAN",BANCO_DADOS!C52,IF($C$10="VAN",BANCO_DADOS!D52,IF($C$10="MICROONIBUS",BANCO_DADOS!E52,BANCO_DADOS!F52))),2)</f>
        <v>756.48</v>
      </c>
    </row>
    <row r="53" spans="1:3" x14ac:dyDescent="0.25">
      <c r="B53" s="83" t="s">
        <v>126</v>
      </c>
      <c r="C53" s="62">
        <f>ROUND(IF($C$10="MINIVAN",BANCO_DADOS!C53,IF($C$10="VAN",BANCO_DADOS!D53,IF($C$10="MICROONIBUS",BANCO_DADOS!E53,BANCO_DADOS!F53))),2)</f>
        <v>90</v>
      </c>
    </row>
    <row r="54" spans="1:3" x14ac:dyDescent="0.25">
      <c r="B54" s="83" t="s">
        <v>128</v>
      </c>
      <c r="C54" s="62">
        <f>ROUND(IF($C$10="MINIVAN",BANCO_DADOS!C54,IF($C$10="VAN",BANCO_DADOS!D54,IF($C$10="MICROONIBUS",BANCO_DADOS!E54,BANCO_DADOS!F54))),2)</f>
        <v>2275</v>
      </c>
    </row>
    <row r="55" spans="1:3" x14ac:dyDescent="0.25">
      <c r="B55" s="83" t="s">
        <v>129</v>
      </c>
      <c r="C55" s="62">
        <f>ROUND(IF($C$10="MINIVAN",BANCO_DADOS!C55,IF($C$10="VAN",BANCO_DADOS!D55,IF($C$10="MICROONIBUS",BANCO_DADOS!E55,BANCO_DADOS!F55))),2)</f>
        <v>120</v>
      </c>
    </row>
    <row r="56" spans="1:3" x14ac:dyDescent="0.25">
      <c r="B56" s="83" t="s">
        <v>130</v>
      </c>
      <c r="C56" s="62">
        <v>0</v>
      </c>
    </row>
    <row r="57" spans="1:3" x14ac:dyDescent="0.25">
      <c r="B57" s="85" t="s">
        <v>131</v>
      </c>
      <c r="C57" s="62">
        <f>ROUND(IF($C$10="MINIVAN",BANCO_DADOS!C57,IF($C$10="VAN",BANCO_DADOS!D57,IF($C$10="MICROONIBUS",BANCO_DADOS!E57,BANCO_DADOS!F57))),2)</f>
        <v>1.62</v>
      </c>
    </row>
    <row r="58" spans="1:3" x14ac:dyDescent="0.25">
      <c r="C58" s="62"/>
    </row>
    <row r="59" spans="1:3" x14ac:dyDescent="0.25">
      <c r="B59" s="41" t="s">
        <v>132</v>
      </c>
      <c r="C59" s="68">
        <f>C57+C48+C42</f>
        <v>3.8190400000000002</v>
      </c>
    </row>
    <row r="60" spans="1:3" x14ac:dyDescent="0.25">
      <c r="A60" s="40"/>
      <c r="B60" s="85"/>
      <c r="C60" s="62"/>
    </row>
    <row r="61" spans="1:3" x14ac:dyDescent="0.25">
      <c r="A61" s="40"/>
      <c r="B61" s="89" t="s">
        <v>133</v>
      </c>
      <c r="C61" s="68">
        <f>C59+C32</f>
        <v>5.7990399999999998</v>
      </c>
    </row>
    <row r="62" spans="1:3" x14ac:dyDescent="0.25">
      <c r="C62" s="62"/>
    </row>
    <row r="63" spans="1:3" x14ac:dyDescent="0.25">
      <c r="A63" s="40"/>
      <c r="B63" s="41" t="s">
        <v>134</v>
      </c>
      <c r="C63" s="68"/>
    </row>
    <row r="64" spans="1:3" x14ac:dyDescent="0.25">
      <c r="B64" s="90" t="s">
        <v>135</v>
      </c>
      <c r="C64" s="62">
        <f>C61*5%</f>
        <v>0.28995199999999999</v>
      </c>
    </row>
    <row r="65" spans="1:3" x14ac:dyDescent="0.25">
      <c r="B65" s="90" t="s">
        <v>142</v>
      </c>
      <c r="C65" s="62">
        <f>C61*7.2%</f>
        <v>0.41753088000000005</v>
      </c>
    </row>
    <row r="66" spans="1:3" x14ac:dyDescent="0.25">
      <c r="B66" s="90" t="s">
        <v>137</v>
      </c>
      <c r="C66" s="62">
        <f>C61*3.56%</f>
        <v>0.206445824</v>
      </c>
    </row>
    <row r="67" spans="1:3" x14ac:dyDescent="0.25">
      <c r="B67" s="90" t="s">
        <v>138</v>
      </c>
      <c r="C67" s="62">
        <f>C61*5%</f>
        <v>0.28995199999999999</v>
      </c>
    </row>
    <row r="68" spans="1:3" x14ac:dyDescent="0.25">
      <c r="B68" s="91" t="s">
        <v>139</v>
      </c>
      <c r="C68" s="62">
        <f>ROUND(IF($C$10="MINIVAN",BANCO_DADOS!C73,IF($C$10="VAN",BANCO_DADOS!D73,IF($C$10="MICROONIBUS",BANCO_DADOS!E73,BANCO_DADOS!F73))),2)</f>
        <v>0</v>
      </c>
    </row>
    <row r="69" spans="1:3" x14ac:dyDescent="0.25">
      <c r="B69" s="41" t="s">
        <v>140</v>
      </c>
      <c r="C69" s="68">
        <f>SUM(C64:C68)</f>
        <v>1.2038807039999999</v>
      </c>
    </row>
    <row r="70" spans="1:3" x14ac:dyDescent="0.25">
      <c r="C70" s="62"/>
    </row>
    <row r="71" spans="1:3" x14ac:dyDescent="0.25">
      <c r="A71" s="57"/>
      <c r="B71" s="83" t="s">
        <v>143</v>
      </c>
      <c r="C71" s="62">
        <f>C69+C61</f>
        <v>7.0029207039999992</v>
      </c>
    </row>
    <row r="72" spans="1:3" x14ac:dyDescent="0.25">
      <c r="B72" s="41" t="s">
        <v>152</v>
      </c>
      <c r="C72" s="71">
        <f>IF(C8="NÃO",1.35,1)*C71</f>
        <v>7.0029207039999992</v>
      </c>
    </row>
    <row r="73" spans="1:3" x14ac:dyDescent="0.25">
      <c r="C73" s="62"/>
    </row>
  </sheetData>
  <mergeCells count="1">
    <mergeCell ref="B1:C2"/>
  </mergeCells>
  <pageMargins left="0.25" right="0.25" top="0.75" bottom="0.75" header="0.511811023622047" footer="0.511811023622047"/>
  <pageSetup paperSize="9" scale="69" fitToWidth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OcDAABQSwMEFAACAAgAm6idXJqretalAAAA9gAAABIAHABDb25maWcvUGFja2FnZS54bWwgohgAKKAUAAAAAAAAAAAAAAAAAAAAAAAAAAAAhY9BDoIwFESvQrqnLSUmhHxKoltJjCbGbVMrNEIhtFju5sIjeQUxirpzOW/eYuZ+vUE+NnVwUb3VrclQhCkKlJHtUZsyQ4M7hQnKOWyEPItSBZNsbDraY4Yq57qUEO899jFu+5IwSiNyKNY7WalGoI+s/8uhNtYJIxXisH+N4QxHiwjHLMEUyAyh0OYrsGnvs/2BsBpqN/SKdy5cboHMEcj7A38AUEsDBBQAAgAIAJuonVw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bqJ1cFN+nseAAAADNAQAAEwAcAEZvcm11bGFzL1NlY3Rpb24xLm0gohgAKKAUAAAAAAAAAAAAAAAAAAAAAAAAAAAAdZBPi8JADMXvhX6HMF5aGATdf4J4kKLHPewW9iAeRhuxOE1kJi5K6Xff0a6rLDWXwC8vL/PG41pKJvhs+2AcR3Hkt8ZhAblZoTUDmIBFiSMINWcSDGB2XKPtZwfnkOSL3W7FvEvSevFuKpyo3021bBbZeYNkqVuDnsrLPcPUCjpTsApeQWyxnztDfsOuytgeKspPe/TJ5Zyua3WGFAw1SBiA4FEaDVc+vHJDpzv89ED+3C1/6cav3fitG4/ucZP+pW6nHj6w4u+yMP6W/IKwje2T/x+kb69u0jgq6bHj+AdQSwECLQAUAAIACACbqJ1cmqt61qUAAAD2AAAAEgAAAAAAAAAAAAAAAAAAAAAAQ29uZmlnL1BhY2thZ2UueG1sUEsBAi0AFAACAAgAm6idXA/K6aukAAAA6QAAABMAAAAAAAAAAAAAAAAA8QAAAFtDb250ZW50X1R5cGVzXS54bWxQSwECLQAUAAIACACbqJ1cFN+nseAAAADNAQAAEwAAAAAAAAAAAAAAAADiAQAARm9ybXVsYXMvU2VjdGlvbjEubVBLBQYAAAAAAwADAMIAAAAPAw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49DAAAAAAAABsM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L1N0YWJsZUVudHJpZXM+PC9JdGVtPjxJdGVtPjxJdGVtTG9jYXRpb24+PEl0ZW1UeXBlPkZvcm11bGE8L0l0ZW1UeXBlPjxJdGVtUGF0aD5TZWN0aW9uMS9UYWJlbGEx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AiIC8+PEVudHJ5IFR5cGU9IlF1ZXJ5SUQiIFZhbHVlPSJzMjJjYTg1MmQtZmM4Yy00YzZmLTlkMjMtODNjODNlNWFmMTRhIiAvPjxFbnRyeSBUeXBlPSJCdWZmZXJOZXh0UmVmcmVzaCIgVmFsdWU9ImwxIiAvPjxFbnRyeSBUeXBlPSJSZXN1bHRUeXBlIiBWYWx1ZT0ic1RhYmxlIiAvPjxFbnRyeSBUeXBlPSJOYW1lVXBkYXRlZEFmdGVyRmlsbCIgVmFsdWU9ImwwIiAvPjxFbnRyeSBUeXBlPSJOYXZpZ2F0aW9uU3RlcE5hbWUiIFZhbHVlPSJzTmF2ZWdhw6fDo28iIC8+PEVudHJ5IFR5cGU9IkZpbGxlZENvbXBsZXRlUmVzdWx0VG9Xb3Jrc2hlZXQiIFZhbHVlPSJsMSIgLz48RW50cnkgVHlwZT0iQWRkZWRUb0RhdGFNb2RlbCIgVmFsdWU9ImwwIiAvPjxFbnRyeSBUeXBlPSJGaWxsQ291bnQiIFZhbHVlPSJsNjU1MzUiIC8+PEVudHJ5IFR5cGU9IkZpbGxFcnJvckNvZGUiIFZhbHVlPSJzVW5rbm93biIgLz48RW50cnkgVHlwZT0iRmlsbEVycm9yQ291bnQiIFZhbHVlPSJsMCIgLz48RW50cnkgVHlwZT0iRmlsbExhc3RVcGRhdGVkIiBWYWx1ZT0iZDIwMjYtMDQtMzBUMDA6MDI6NTYuMjI4NzA3OVoiIC8+PEVudHJ5IFR5cGU9IkZpbGxDb2x1bW5UeXBlcyIgVmFsdWU9InNCZ0FHQUFBQUFBPT0iIC8+PEVudHJ5IFR5cGU9IkZpbGxDb2x1bW5OYW1lcyIgVmFsdWU9InNbJnF1b3Q7Q29sdW5hMSZxdW90OywmcXVvdDtDb2x1bmEyJnF1b3Q7LCZxdW90O0NvbHVuYTMmcXVvdDssJnF1b3Q7Q29sdW5hNSZxdW90OywmcXVvdDtDb2x1bmE2JnF1b3Q7LCZxdW90O0NvbHVuYTcmcXVvdDssJnF1b3Q7Q29sdW5hOCZxdW90O10iIC8+PEVudHJ5IFR5cGU9IkZpbGxTdGF0dXMiIFZhbHVlPSJzQ29tcGxldGUiIC8+PEVudHJ5IFR5cGU9IlJlbGF0aW9uc2hpcEluZm9Db250YWluZXIiIFZhbHVlPSJzeyZxdW90O2NvbHVtbkNvdW50JnF1b3Q7OjcsJnF1b3Q7a2V5Q29sdW1uTmFtZXMmcXVvdDs6W10sJnF1b3Q7cXVlcnlSZWxhdGlvbnNoaXBzJnF1b3Q7OltdLCZxdW90O2NvbHVtbklkZW50aXRpZXMmcXVvdDs6WyZxdW90O1NlY3Rpb24xL1RhYmVsYTEvQXV0b1JlbW92ZWRDb2x1bW5zMS57Q29sdW5hMSwwfSZxdW90OywmcXVvdDtTZWN0aW9uMS9UYWJlbGExL0F1dG9SZW1vdmVkQ29sdW1uczEue0NvbHVuYTIsMX0mcXVvdDssJnF1b3Q7U2VjdGlvbjEvVGFiZWxhMS9BdXRvUmVtb3ZlZENvbHVtbnMxLntDb2x1bmEzLDJ9JnF1b3Q7LCZxdW90O1NlY3Rpb24xL1RhYmVsYTEvQXV0b1JlbW92ZWRDb2x1bW5zMS57Q29sdW5hNSwzfSZxdW90OywmcXVvdDtTZWN0aW9uMS9UYWJlbGExL0F1dG9SZW1vdmVkQ29sdW1uczEue0NvbHVuYTYsNH0mcXVvdDssJnF1b3Q7U2VjdGlvbjEvVGFiZWxhMS9BdXRvUmVtb3ZlZENvbHVtbnMxLntDb2x1bmE3LDV9JnF1b3Q7LCZxdW90O1NlY3Rpb24xL1RhYmVsYTEvQXV0b1JlbW92ZWRDb2x1bW5zMS57Q29sdW5hOCw2fSZxdW90O10sJnF1b3Q7Q29sdW1uQ291bnQmcXVvdDs6NywmcXVvdDtLZXlDb2x1bW5OYW1lcyZxdW90OzpbXSwmcXVvdDtDb2x1bW5JZGVudGl0aWVzJnF1b3Q7OlsmcXVvdDtTZWN0aW9uMS9UYWJlbGExL0F1dG9SZW1vdmVkQ29sdW1uczEue0NvbHVuYTEsMH0mcXVvdDssJnF1b3Q7U2VjdGlvbjEvVGFiZWxhMS9BdXRvUmVtb3ZlZENvbHVtbnMxLntDb2x1bmEyLDF9JnF1b3Q7LCZxdW90O1NlY3Rpb24xL1RhYmVsYTEvQXV0b1JlbW92ZWRDb2x1bW5zMS57Q29sdW5hMywyfSZxdW90OywmcXVvdDtTZWN0aW9uMS9UYWJlbGExL0F1dG9SZW1vdmVkQ29sdW1uczEue0NvbHVuYTUsM30mcXVvdDssJnF1b3Q7U2VjdGlvbjEvVGFiZWxhMS9BdXRvUmVtb3ZlZENvbHVtbnMxLntDb2x1bmE2LDR9JnF1b3Q7LCZxdW90O1NlY3Rpb24xL1RhYmVsYTEvQXV0b1JlbW92ZWRDb2x1bW5zMS57Q29sdW5hNyw1fSZxdW90OywmcXVvdDtTZWN0aW9uMS9UYWJlbGExL0F1dG9SZW1vdmVkQ29sdW1uczEue0NvbHVuYTgsNn0mcXVvdDtdLCZxdW90O1JlbGF0aW9uc2hpcEluZm8mcXVvdDs6W119IiAvPjwvU3RhYmxlRW50cmllcz48L0l0ZW0+PEl0ZW0+PEl0ZW1Mb2NhdGlvbj48SXRlbVR5cGU+Rm9ybXVsYTwvSXRlbVR5cGU+PEl0ZW1QYXRoPlNlY3Rpb24xL1RhYmVsYTEvRm9udGU8L0l0ZW1QYXRoPjwvSXRlbUxvY2F0aW9uPjxTdGFibGVFbnRyaWVzIC8+PC9JdGVtPjxJdGVtPjxJdGVtTG9jYXRpb24+PEl0ZW1UeXBlPkZvcm11bGE8L0l0ZW1UeXBlPjxJdGVtUGF0aD5TZWN0aW9uMS9UYWJlbGExL1RpcG8lMjBBbHRlcmFkbzwvSXRlbVBhdGg+PC9JdGVtTG9jYXRpb24+PFN0YWJsZUVudHJpZXMgLz48L0l0ZW0+PEl0ZW0+PEl0ZW1Mb2NhdGlvbj48SXRlbVR5cGU+Rm9ybXVsYTwvSXRlbVR5cGU+PEl0ZW1QYXRoPlNlY3Rpb24xL1RhYmVsYTEvQ29sdW5hcyUyMFJlbW92aWRhczwvSXRlbVBhdGg+PC9JdGVtTG9jYXRpb24+PFN0YWJsZUVudHJpZXMgLz48L0l0ZW0+PC9JdGVtcz48L0xvY2FsUGFja2FnZU1ldGFkYXRhRmlsZT4WAAAAUEsFBgAAAAAAAAAAAAAAAAAAAAAAACYBAAABAAAA0Iyd3wEV0RGMegDAT8KX6wEAAACRY/N27NceSr19/ZZ1ex4dAAAAAAIAAAAAABBmAAAAAQAAIAAAAGLTtx6sRZAqvEvdOAV/MOR6vvrgWTWTEVHSGkY9Mb0XAAAAAA6AAAAAAgAAIAAAAH5JFK400F5SWPX14Ow3uRA7N0Bsi8f1GDJfJ9AhBS+VUAAAAE1l3Sb0LFcBn2LODm/k72eYrhPh/P1aLugajcZD9hHxTzVZWYEZPh4lYNRAL1LiM1gpAaxqzJipe7s9nUvdTs2e2locrFub/Wji/iZRNg8RQAAAALEaWAYi5lRRzi67cx3QPHxJMd/GUe1c7jMzi0vd1EYxF615LOI9wqurlrndxJ35DbKRwM3vHW/OFQJi/u9rpcc=</DataMashup>
</file>

<file path=customXml/itemProps1.xml><?xml version="1.0" encoding="utf-8"?>
<ds:datastoreItem xmlns:ds="http://schemas.openxmlformats.org/officeDocument/2006/customXml" ds:itemID="{8221C598-1BF8-4B30-A199-4E4A5AB75C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38</vt:i4>
      </vt:variant>
    </vt:vector>
  </HeadingPairs>
  <TitlesOfParts>
    <vt:vector size="38" baseType="lpstr">
      <vt:lpstr>PLAN_0FICIAL</vt:lpstr>
      <vt:lpstr>BANCO_DADOS</vt:lpstr>
      <vt:lpstr>ROTA 1</vt:lpstr>
      <vt:lpstr>ROTA 2</vt:lpstr>
      <vt:lpstr>ROTA 3</vt:lpstr>
      <vt:lpstr>ROTA 4</vt:lpstr>
      <vt:lpstr>ROTA 5</vt:lpstr>
      <vt:lpstr>ROTA 6</vt:lpstr>
      <vt:lpstr>ROTA 7</vt:lpstr>
      <vt:lpstr>ROTA 8</vt:lpstr>
      <vt:lpstr>ROTA 9</vt:lpstr>
      <vt:lpstr>ROTA 10</vt:lpstr>
      <vt:lpstr>ROTA 11</vt:lpstr>
      <vt:lpstr>ROTA 12</vt:lpstr>
      <vt:lpstr>ROTA 13</vt:lpstr>
      <vt:lpstr>ROTA 14</vt:lpstr>
      <vt:lpstr>ROTA 15</vt:lpstr>
      <vt:lpstr>ROTA 16</vt:lpstr>
      <vt:lpstr>ROTA 17</vt:lpstr>
      <vt:lpstr>ROTA 18</vt:lpstr>
      <vt:lpstr>ROTA 19</vt:lpstr>
      <vt:lpstr>ROTA 20</vt:lpstr>
      <vt:lpstr>ROTA 21</vt:lpstr>
      <vt:lpstr>ROTA 22</vt:lpstr>
      <vt:lpstr>ROTA 23</vt:lpstr>
      <vt:lpstr>ROTA 24</vt:lpstr>
      <vt:lpstr>ROTA 25</vt:lpstr>
      <vt:lpstr>ROTA 26</vt:lpstr>
      <vt:lpstr>ROTA 27</vt:lpstr>
      <vt:lpstr>ROTA 28</vt:lpstr>
      <vt:lpstr>ROTA 29</vt:lpstr>
      <vt:lpstr>ROTA 30</vt:lpstr>
      <vt:lpstr>ROTA 31</vt:lpstr>
      <vt:lpstr>ROTA 32</vt:lpstr>
      <vt:lpstr>ROTA 33</vt:lpstr>
      <vt:lpstr>ROTA 34</vt:lpstr>
      <vt:lpstr>ROTA 35</vt:lpstr>
      <vt:lpstr>ROTA 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helyda licita</dc:creator>
  <dc:description/>
  <cp:lastModifiedBy>helyda licita</cp:lastModifiedBy>
  <cp:revision>2</cp:revision>
  <cp:lastPrinted>2026-09-08T12:54:45Z</cp:lastPrinted>
  <dcterms:created xsi:type="dcterms:W3CDTF">2022-04-13T17:07:38Z</dcterms:created>
  <dcterms:modified xsi:type="dcterms:W3CDTF">2026-09-08T12:54:45Z</dcterms:modified>
  <dc:language>pt-BR</dc:language>
</cp:coreProperties>
</file>